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codeName="ThisWorkbook" defaultThemeVersion="124226"/>
  <xr:revisionPtr revIDLastSave="0" documentId="13_ncr:1_{E7B80748-1848-4A94-A6C1-D6086ADAE0F8}" xr6:coauthVersionLast="47" xr6:coauthVersionMax="47" xr10:uidLastSave="{00000000-0000-0000-0000-000000000000}"/>
  <bookViews>
    <workbookView xWindow="-120" yWindow="-120" windowWidth="29040" windowHeight="15840" tabRatio="878" activeTab="5" xr2:uid="{00000000-000D-0000-FFFF-FFFF00000000}"/>
  </bookViews>
  <sheets>
    <sheet name="Summary" sheetId="11" r:id="rId1"/>
    <sheet name="Purchd Power Model Weather norm" sheetId="74" r:id="rId2"/>
    <sheet name="Purchased Power Model" sheetId="73" r:id="rId3"/>
    <sheet name="Rate Class Energy Model" sheetId="9" r:id="rId4"/>
    <sheet name="Rate Class Customer Model" sheetId="17" r:id="rId5"/>
    <sheet name="Rate Class Load Model" sheetId="18" r:id="rId6"/>
    <sheet name="2024 RPP non-RPP COP" sheetId="75" r:id="rId7"/>
    <sheet name="Summaries" sheetId="60" r:id="rId8"/>
    <sheet name="Inputs" sheetId="61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_CAP1000" localSheetId="2">#REF!</definedName>
    <definedName name="__CAP1000" localSheetId="1">#REF!</definedName>
    <definedName name="__CAP1000">#REF!</definedName>
    <definedName name="__OP1000" localSheetId="2">#REF!</definedName>
    <definedName name="__OP1000" localSheetId="1">#REF!</definedName>
    <definedName name="__OP1000">#REF!</definedName>
    <definedName name="_110" localSheetId="2">#REF!</definedName>
    <definedName name="_110" localSheetId="1">#REF!</definedName>
    <definedName name="_110">#REF!</definedName>
    <definedName name="_110INPT" localSheetId="2">#REF!</definedName>
    <definedName name="_110INPT" localSheetId="1">#REF!</definedName>
    <definedName name="_110INPT">#REF!</definedName>
    <definedName name="_115" localSheetId="2">#REF!</definedName>
    <definedName name="_115" localSheetId="1">#REF!</definedName>
    <definedName name="_115">#REF!</definedName>
    <definedName name="_115INPT" localSheetId="2">#REF!</definedName>
    <definedName name="_115INPT" localSheetId="1">#REF!</definedName>
    <definedName name="_115INPT">#REF!</definedName>
    <definedName name="_120" localSheetId="2">#REF!</definedName>
    <definedName name="_120" localSheetId="1">#REF!</definedName>
    <definedName name="_120">#REF!</definedName>
    <definedName name="_140" localSheetId="2">#REF!</definedName>
    <definedName name="_140" localSheetId="1">#REF!</definedName>
    <definedName name="_140">#REF!</definedName>
    <definedName name="_140INPT" localSheetId="2">#REF!</definedName>
    <definedName name="_140INPT" localSheetId="1">#REF!</definedName>
    <definedName name="_140INPT">#REF!</definedName>
    <definedName name="_CAP1000" localSheetId="2">#REF!</definedName>
    <definedName name="_CAP1000" localSheetId="1">#REF!</definedName>
    <definedName name="_CAP1000">#REF!</definedName>
    <definedName name="_Fill" hidden="1">'[1]Old MEA Statistics'!$B$250</definedName>
    <definedName name="_OP1000" localSheetId="2">#REF!</definedName>
    <definedName name="_OP1000" localSheetId="1">#REF!</definedName>
    <definedName name="_OP1000">#REF!</definedName>
    <definedName name="_Order1" hidden="1">255</definedName>
    <definedName name="_Order2" hidden="1">0</definedName>
    <definedName name="_Sort" hidden="1">[2]Sheet1!$G$40:$K$40</definedName>
    <definedName name="abc">[3]Refs!$B$8</definedName>
    <definedName name="ALL" localSheetId="2">#REF!</definedName>
    <definedName name="ALL" localSheetId="1">#REF!</definedName>
    <definedName name="ALL">#REF!</definedName>
    <definedName name="ApprovedYr">'[4]Z1.ModelVariables'!$C$12</definedName>
    <definedName name="CAfile">[5]Refs!$B$2</definedName>
    <definedName name="CAPCOSTS" localSheetId="2">#REF!</definedName>
    <definedName name="CAPCOSTS" localSheetId="1">#REF!</definedName>
    <definedName name="CAPCOSTS">#REF!</definedName>
    <definedName name="CAPITAL" localSheetId="2">#REF!</definedName>
    <definedName name="CAPITAL" localSheetId="1">#REF!</definedName>
    <definedName name="CAPITAL">#REF!</definedName>
    <definedName name="CapitalExpListing" localSheetId="2">#REF!</definedName>
    <definedName name="CapitalExpListing" localSheetId="1">#REF!</definedName>
    <definedName name="CapitalExpListing">#REF!</definedName>
    <definedName name="CArevReq">[5]Refs!$B$6</definedName>
    <definedName name="CASHFLOW" localSheetId="2">#REF!</definedName>
    <definedName name="CASHFLOW" localSheetId="1">#REF!</definedName>
    <definedName name="CASHFLOW">#REF!</definedName>
    <definedName name="cc" localSheetId="2">#REF!</definedName>
    <definedName name="cc" localSheetId="1">#REF!</definedName>
    <definedName name="cc">#REF!</definedName>
    <definedName name="ClassRange1">[5]Refs!$B$3</definedName>
    <definedName name="ClassRange2">[5]Refs!$B$4</definedName>
    <definedName name="contactf" localSheetId="2">#REF!</definedName>
    <definedName name="contactf" localSheetId="1">#REF!</definedName>
    <definedName name="contactf">#REF!</definedName>
    <definedName name="_xlnm.Criteria" localSheetId="2">#REF!</definedName>
    <definedName name="_xlnm.Criteria" localSheetId="1">#REF!</definedName>
    <definedName name="_xlnm.Criteria">#REF!</definedName>
    <definedName name="CRLF">'[4]Z1.ModelVariables'!$C$10</definedName>
    <definedName name="_xlnm.Database" localSheetId="2">#REF!</definedName>
    <definedName name="_xlnm.Database" localSheetId="1">#REF!</definedName>
    <definedName name="_xlnm.Database">#REF!</definedName>
    <definedName name="DaysInPreviousYear">'[6]Distribution Revenue by Source'!$B$22</definedName>
    <definedName name="DaysInYear">'[6]Distribution Revenue by Source'!$B$21</definedName>
    <definedName name="DEBTREPAY" localSheetId="2">#REF!</definedName>
    <definedName name="DEBTREPAY" localSheetId="1">#REF!</definedName>
    <definedName name="DEBTREPAY">#REF!</definedName>
    <definedName name="DeptDiv" localSheetId="2">#REF!</definedName>
    <definedName name="DeptDiv" localSheetId="1">#REF!</definedName>
    <definedName name="DeptDiv">#REF!</definedName>
    <definedName name="ExpenseAccountListing" localSheetId="2">#REF!</definedName>
    <definedName name="ExpenseAccountListing" localSheetId="1">#REF!</definedName>
    <definedName name="ExpenseAccountListing">#REF!</definedName>
    <definedName name="_xlnm.Extract" localSheetId="2">#REF!</definedName>
    <definedName name="_xlnm.Extract" localSheetId="1">#REF!</definedName>
    <definedName name="_xlnm.Extract">#REF!</definedName>
    <definedName name="FakeBlank">'[4]Z1.ModelVariables'!$C$14</definedName>
    <definedName name="FolderPath">[5]Menu!$C$8</definedName>
    <definedName name="histdate">[7]Financials!$E$76</definedName>
    <definedName name="Incr2000" localSheetId="2">#REF!</definedName>
    <definedName name="Incr2000" localSheetId="1">#REF!</definedName>
    <definedName name="Incr2000">#REF!</definedName>
    <definedName name="INTERIM" localSheetId="2">#REF!</definedName>
    <definedName name="INTERIM" localSheetId="1">#REF!</definedName>
    <definedName name="INTERIM">#REF!</definedName>
    <definedName name="LIMIT" localSheetId="2">#REF!</definedName>
    <definedName name="LIMIT" localSheetId="1">#REF!</definedName>
    <definedName name="LIMIT">#REF!</definedName>
    <definedName name="man_beg_bud" localSheetId="2">#REF!</definedName>
    <definedName name="man_beg_bud" localSheetId="1">#REF!</definedName>
    <definedName name="man_beg_bud">#REF!</definedName>
    <definedName name="man_end_bud" localSheetId="2">#REF!</definedName>
    <definedName name="man_end_bud" localSheetId="1">#REF!</definedName>
    <definedName name="man_end_bud">#REF!</definedName>
    <definedName name="man12ACT" localSheetId="2">#REF!</definedName>
    <definedName name="man12ACT" localSheetId="1">#REF!</definedName>
    <definedName name="man12ACT">#REF!</definedName>
    <definedName name="MANBUD" localSheetId="2">#REF!</definedName>
    <definedName name="MANBUD" localSheetId="1">#REF!</definedName>
    <definedName name="MANBUD">#REF!</definedName>
    <definedName name="manCYACT" localSheetId="2">#REF!</definedName>
    <definedName name="manCYACT" localSheetId="1">#REF!</definedName>
    <definedName name="manCYACT">#REF!</definedName>
    <definedName name="manCYBUD" localSheetId="2">#REF!</definedName>
    <definedName name="manCYBUD" localSheetId="1">#REF!</definedName>
    <definedName name="manCYBUD">#REF!</definedName>
    <definedName name="manCYF" localSheetId="2">#REF!</definedName>
    <definedName name="manCYF" localSheetId="1">#REF!</definedName>
    <definedName name="manCYF">#REF!</definedName>
    <definedName name="MANEND" localSheetId="2">#REF!</definedName>
    <definedName name="MANEND" localSheetId="1">#REF!</definedName>
    <definedName name="MANEND">#REF!</definedName>
    <definedName name="manNYbud" localSheetId="2">#REF!</definedName>
    <definedName name="manNYbud" localSheetId="1">#REF!</definedName>
    <definedName name="manNYbud">#REF!</definedName>
    <definedName name="manpower_costs" localSheetId="2">#REF!</definedName>
    <definedName name="manpower_costs" localSheetId="1">#REF!</definedName>
    <definedName name="manpower_costs">#REF!</definedName>
    <definedName name="manPYACT" localSheetId="2">#REF!</definedName>
    <definedName name="manPYACT" localSheetId="1">#REF!</definedName>
    <definedName name="manPYACT">#REF!</definedName>
    <definedName name="MANSTART" localSheetId="2">#REF!</definedName>
    <definedName name="MANSTART" localSheetId="1">#REF!</definedName>
    <definedName name="MANSTART">#REF!</definedName>
    <definedName name="mat_beg_bud" localSheetId="2">#REF!</definedName>
    <definedName name="mat_beg_bud" localSheetId="1">#REF!</definedName>
    <definedName name="mat_beg_bud">#REF!</definedName>
    <definedName name="mat_end_bud" localSheetId="2">#REF!</definedName>
    <definedName name="mat_end_bud" localSheetId="1">#REF!</definedName>
    <definedName name="mat_end_bud">#REF!</definedName>
    <definedName name="mat12ACT" localSheetId="2">#REF!</definedName>
    <definedName name="mat12ACT" localSheetId="1">#REF!</definedName>
    <definedName name="mat12ACT">#REF!</definedName>
    <definedName name="MATBUD" localSheetId="2">#REF!</definedName>
    <definedName name="MATBUD" localSheetId="1">#REF!</definedName>
    <definedName name="MATBUD">#REF!</definedName>
    <definedName name="matCYACT" localSheetId="2">#REF!</definedName>
    <definedName name="matCYACT" localSheetId="1">#REF!</definedName>
    <definedName name="matCYACT">#REF!</definedName>
    <definedName name="matCYBUD" localSheetId="2">#REF!</definedName>
    <definedName name="matCYBUD" localSheetId="1">#REF!</definedName>
    <definedName name="matCYBUD">#REF!</definedName>
    <definedName name="matCYF" localSheetId="2">#REF!</definedName>
    <definedName name="matCYF" localSheetId="1">#REF!</definedName>
    <definedName name="matCYF">#REF!</definedName>
    <definedName name="MATEND" localSheetId="2">#REF!</definedName>
    <definedName name="MATEND" localSheetId="1">#REF!</definedName>
    <definedName name="MATEND">#REF!</definedName>
    <definedName name="material_costs" localSheetId="2">#REF!</definedName>
    <definedName name="material_costs" localSheetId="1">#REF!</definedName>
    <definedName name="material_costs">#REF!</definedName>
    <definedName name="matNYbud" localSheetId="2">#REF!</definedName>
    <definedName name="matNYbud" localSheetId="1">#REF!</definedName>
    <definedName name="matNYbud">#REF!</definedName>
    <definedName name="matPYACT" localSheetId="2">#REF!</definedName>
    <definedName name="matPYACT" localSheetId="1">#REF!</definedName>
    <definedName name="matPYACT">#REF!</definedName>
    <definedName name="MATSTART" localSheetId="2">#REF!</definedName>
    <definedName name="MATSTART" localSheetId="1">#REF!</definedName>
    <definedName name="MATSTART">#REF!</definedName>
    <definedName name="mea" localSheetId="2">#REF!</definedName>
    <definedName name="mea" localSheetId="1">#REF!</definedName>
    <definedName name="mea">#REF!</definedName>
    <definedName name="MEABAL" localSheetId="2">#REF!</definedName>
    <definedName name="MEABAL" localSheetId="1">#REF!</definedName>
    <definedName name="MEABAL">#REF!</definedName>
    <definedName name="MEACASH" localSheetId="2">#REF!</definedName>
    <definedName name="MEACASH" localSheetId="1">#REF!</definedName>
    <definedName name="MEACASH">#REF!</definedName>
    <definedName name="MEAEQITY" localSheetId="2">#REF!</definedName>
    <definedName name="MEAEQITY" localSheetId="1">#REF!</definedName>
    <definedName name="MEAEQITY">#REF!</definedName>
    <definedName name="MEAOP" localSheetId="2">#REF!</definedName>
    <definedName name="MEAOP" localSheetId="1">#REF!</definedName>
    <definedName name="MEAOP">#REF!</definedName>
    <definedName name="MofF" localSheetId="2">#REF!</definedName>
    <definedName name="MofF" localSheetId="1">#REF!</definedName>
    <definedName name="MofF">#REF!</definedName>
    <definedName name="NewRevReq">[5]Refs!$B$8</definedName>
    <definedName name="NOTES" localSheetId="2">#REF!</definedName>
    <definedName name="NOTES" localSheetId="1">#REF!</definedName>
    <definedName name="NOTES">#REF!</definedName>
    <definedName name="OPERATING" localSheetId="2">#REF!</definedName>
    <definedName name="OPERATING" localSheetId="1">#REF!</definedName>
    <definedName name="OPERATING">#REF!</definedName>
    <definedName name="oth_beg_bud" localSheetId="2">#REF!</definedName>
    <definedName name="oth_beg_bud" localSheetId="1">#REF!</definedName>
    <definedName name="oth_beg_bud">#REF!</definedName>
    <definedName name="oth_end_bud" localSheetId="2">#REF!</definedName>
    <definedName name="oth_end_bud" localSheetId="1">#REF!</definedName>
    <definedName name="oth_end_bud">#REF!</definedName>
    <definedName name="oth12ACT" localSheetId="2">#REF!</definedName>
    <definedName name="oth12ACT" localSheetId="1">#REF!</definedName>
    <definedName name="oth12ACT">#REF!</definedName>
    <definedName name="othCYACT" localSheetId="2">#REF!</definedName>
    <definedName name="othCYACT" localSheetId="1">#REF!</definedName>
    <definedName name="othCYACT">#REF!</definedName>
    <definedName name="othCYBUD" localSheetId="2">#REF!</definedName>
    <definedName name="othCYBUD" localSheetId="1">#REF!</definedName>
    <definedName name="othCYBUD">#REF!</definedName>
    <definedName name="othCYF" localSheetId="2">#REF!</definedName>
    <definedName name="othCYF" localSheetId="1">#REF!</definedName>
    <definedName name="othCYF">#REF!</definedName>
    <definedName name="OTHEND" localSheetId="2">#REF!</definedName>
    <definedName name="OTHEND" localSheetId="1">#REF!</definedName>
    <definedName name="OTHEND">#REF!</definedName>
    <definedName name="other_costs" localSheetId="2">#REF!</definedName>
    <definedName name="other_costs" localSheetId="1">#REF!</definedName>
    <definedName name="other_costs">#REF!</definedName>
    <definedName name="OTHERBUD" localSheetId="2">#REF!</definedName>
    <definedName name="OTHERBUD" localSheetId="1">#REF!</definedName>
    <definedName name="OTHERBUD">#REF!</definedName>
    <definedName name="othNYbud" localSheetId="2">#REF!</definedName>
    <definedName name="othNYbud" localSheetId="1">#REF!</definedName>
    <definedName name="othNYbud">#REF!</definedName>
    <definedName name="othPYACT" localSheetId="2">#REF!</definedName>
    <definedName name="othPYACT" localSheetId="1">#REF!</definedName>
    <definedName name="othPYACT">#REF!</definedName>
    <definedName name="OTHSTART" localSheetId="2">#REF!</definedName>
    <definedName name="OTHSTART" localSheetId="1">#REF!</definedName>
    <definedName name="OTHSTART">#REF!</definedName>
    <definedName name="PAGE11" localSheetId="2">#REF!</definedName>
    <definedName name="PAGE11" localSheetId="1">#REF!</definedName>
    <definedName name="PAGE11">#REF!</definedName>
    <definedName name="PAGE2">[2]Sheet1!$A$1:$I$40</definedName>
    <definedName name="PAGE3" localSheetId="2">#REF!</definedName>
    <definedName name="PAGE3" localSheetId="1">#REF!</definedName>
    <definedName name="PAGE3">#REF!</definedName>
    <definedName name="PAGE4" localSheetId="2">#REF!</definedName>
    <definedName name="PAGE4" localSheetId="1">#REF!</definedName>
    <definedName name="PAGE4">#REF!</definedName>
    <definedName name="PAGE7" localSheetId="2">#REF!</definedName>
    <definedName name="PAGE7" localSheetId="1">#REF!</definedName>
    <definedName name="PAGE7">#REF!</definedName>
    <definedName name="PAGE9" localSheetId="2">#REF!</definedName>
    <definedName name="PAGE9" localSheetId="1">#REF!</definedName>
    <definedName name="PAGE9">#REF!</definedName>
    <definedName name="PageOne" localSheetId="2">#REF!</definedName>
    <definedName name="PageOne" localSheetId="1">#REF!</definedName>
    <definedName name="PageOne">#REF!</definedName>
    <definedName name="ppp">[3]Refs!$B$6</definedName>
    <definedName name="PR" localSheetId="2">#REF!</definedName>
    <definedName name="PR" localSheetId="1">#REF!</definedName>
    <definedName name="PR">#REF!</definedName>
    <definedName name="_xlnm.Print_Area" localSheetId="2">'Purchased Power Model'!$C$1:$N$168</definedName>
    <definedName name="_xlnm.Print_Area" localSheetId="1">'Purchd Power Model Weather norm'!$C$1:$N$168</definedName>
    <definedName name="_xlnm.Print_Area" localSheetId="4">'Rate Class Customer Model'!$A$1:$K$41</definedName>
    <definedName name="_xlnm.Print_Area" localSheetId="3">'Rate Class Energy Model'!#REF!</definedName>
    <definedName name="_xlnm.Print_Area" localSheetId="5">'Rate Class Load Model'!$A$1:$H$30</definedName>
    <definedName name="_xlnm.Print_Area" localSheetId="0">Summary!$A$3:$M$43</definedName>
    <definedName name="Print_Area_MI" localSheetId="2">#REF!</definedName>
    <definedName name="Print_Area_MI" localSheetId="1">#REF!</definedName>
    <definedName name="Print_Area_MI">#REF!</definedName>
    <definedName name="print_end" localSheetId="2">#REF!</definedName>
    <definedName name="print_end" localSheetId="1">#REF!</definedName>
    <definedName name="print_end">#REF!</definedName>
    <definedName name="_xlnm.Print_Titles" localSheetId="2">'Purchased Power Model'!$C:$N,'Purchased Power Model'!$1:$2</definedName>
    <definedName name="_xlnm.Print_Titles" localSheetId="1">'Purchd Power Model Weather norm'!$C:$N,'Purchd Power Model Weather norm'!$1:$2</definedName>
    <definedName name="PRIOR" localSheetId="2">#REF!</definedName>
    <definedName name="PRIOR" localSheetId="1">#REF!</definedName>
    <definedName name="PRIOR">#REF!</definedName>
    <definedName name="Ratebase">'[6]Distribution Revenue by Source'!$C$25</definedName>
    <definedName name="RevReqLookupKey">[5]Refs!$B$5</definedName>
    <definedName name="RevReqRange">[5]Refs!$B$7</definedName>
    <definedName name="RVCASHPR" localSheetId="2">#REF!</definedName>
    <definedName name="RVCASHPR" localSheetId="1">#REF!</definedName>
    <definedName name="RVCASHPR">#REF!</definedName>
    <definedName name="SALBENF" localSheetId="2">#REF!</definedName>
    <definedName name="SALBENF" localSheetId="1">#REF!</definedName>
    <definedName name="SALBENF">#REF!</definedName>
    <definedName name="salreg" localSheetId="2">#REF!</definedName>
    <definedName name="salreg" localSheetId="1">#REF!</definedName>
    <definedName name="salreg">#REF!</definedName>
    <definedName name="SALREGF" localSheetId="2">#REF!</definedName>
    <definedName name="SALREGF" localSheetId="1">#REF!</definedName>
    <definedName name="SALREGF">#REF!</definedName>
    <definedName name="SOURCEAPP" localSheetId="2">#REF!</definedName>
    <definedName name="SOURCEAPP" localSheetId="1">#REF!</definedName>
    <definedName name="SOURCEAPP">#REF!</definedName>
    <definedName name="STATS1" localSheetId="2">#REF!</definedName>
    <definedName name="STATS1" localSheetId="1">#REF!</definedName>
    <definedName name="STATS1">#REF!</definedName>
    <definedName name="STATS2" localSheetId="2">#REF!</definedName>
    <definedName name="STATS2" localSheetId="1">#REF!</definedName>
    <definedName name="STATS2">#REF!</definedName>
    <definedName name="Surtax" localSheetId="2">#REF!</definedName>
    <definedName name="Surtax" localSheetId="1">#REF!</definedName>
    <definedName name="Surtax">#REF!</definedName>
    <definedName name="TEMPA" localSheetId="2">#REF!</definedName>
    <definedName name="TEMPA" localSheetId="1">#REF!</definedName>
    <definedName name="TEMPA">#REF!</definedName>
    <definedName name="TestYr">'[4]A1.Admin'!$C$13</definedName>
    <definedName name="TestYrPL">'[8]Revenue Requirement'!$B$10</definedName>
    <definedName name="total_dept" localSheetId="2">#REF!</definedName>
    <definedName name="total_dept" localSheetId="1">#REF!</definedName>
    <definedName name="total_dept">#REF!</definedName>
    <definedName name="total_manpower" localSheetId="2">#REF!</definedName>
    <definedName name="total_manpower" localSheetId="1">#REF!</definedName>
    <definedName name="total_manpower">#REF!</definedName>
    <definedName name="total_material" localSheetId="2">#REF!</definedName>
    <definedName name="total_material" localSheetId="1">#REF!</definedName>
    <definedName name="total_material">#REF!</definedName>
    <definedName name="total_other" localSheetId="2">#REF!</definedName>
    <definedName name="total_other" localSheetId="1">#REF!</definedName>
    <definedName name="total_other">#REF!</definedName>
    <definedName name="total_transportation" localSheetId="2">#REF!</definedName>
    <definedName name="total_transportation" localSheetId="1">#REF!</definedName>
    <definedName name="total_transportation">#REF!</definedName>
    <definedName name="TOTCAPADDITIONS" localSheetId="2">#REF!</definedName>
    <definedName name="TOTCAPADDITIONS" localSheetId="1">#REF!</definedName>
    <definedName name="TOTCAPADDITIONS">#REF!</definedName>
    <definedName name="TRANBUD" localSheetId="2">#REF!</definedName>
    <definedName name="TRANBUD" localSheetId="1">#REF!</definedName>
    <definedName name="TRANBUD">#REF!</definedName>
    <definedName name="TRANEND" localSheetId="2">#REF!</definedName>
    <definedName name="TRANEND" localSheetId="1">#REF!</definedName>
    <definedName name="TRANEND">#REF!</definedName>
    <definedName name="TRANSCAP" localSheetId="2">#REF!</definedName>
    <definedName name="TRANSCAP" localSheetId="1">#REF!</definedName>
    <definedName name="TRANSCAP">#REF!</definedName>
    <definedName name="TRANSFER" localSheetId="2">#REF!</definedName>
    <definedName name="TRANSFER" localSheetId="1">#REF!</definedName>
    <definedName name="TRANSFER">#REF!</definedName>
    <definedName name="transportation_costs" localSheetId="2">#REF!</definedName>
    <definedName name="transportation_costs" localSheetId="1">#REF!</definedName>
    <definedName name="transportation_costs">#REF!</definedName>
    <definedName name="TRANSTART" localSheetId="2">#REF!</definedName>
    <definedName name="TRANSTART" localSheetId="1">#REF!</definedName>
    <definedName name="TRANSTART">#REF!</definedName>
    <definedName name="trn_beg_bud" localSheetId="2">#REF!</definedName>
    <definedName name="trn_beg_bud" localSheetId="1">#REF!</definedName>
    <definedName name="trn_beg_bud">#REF!</definedName>
    <definedName name="trn_end_bud" localSheetId="2">#REF!</definedName>
    <definedName name="trn_end_bud" localSheetId="1">#REF!</definedName>
    <definedName name="trn_end_bud">#REF!</definedName>
    <definedName name="trn12ACT" localSheetId="2">#REF!</definedName>
    <definedName name="trn12ACT" localSheetId="1">#REF!</definedName>
    <definedName name="trn12ACT">#REF!</definedName>
    <definedName name="trnCYACT" localSheetId="2">#REF!</definedName>
    <definedName name="trnCYACT" localSheetId="1">#REF!</definedName>
    <definedName name="trnCYACT">#REF!</definedName>
    <definedName name="trnCYBUD" localSheetId="2">#REF!</definedName>
    <definedName name="trnCYBUD" localSheetId="1">#REF!</definedName>
    <definedName name="trnCYBUD">#REF!</definedName>
    <definedName name="trnCYF" localSheetId="2">#REF!</definedName>
    <definedName name="trnCYF" localSheetId="1">#REF!</definedName>
    <definedName name="trnCYF">#REF!</definedName>
    <definedName name="trnNYbud" localSheetId="2">#REF!</definedName>
    <definedName name="trnNYbud" localSheetId="1">#REF!</definedName>
    <definedName name="trnNYbud">#REF!</definedName>
    <definedName name="trnPYACT" localSheetId="2">#REF!</definedName>
    <definedName name="trnPYACT" localSheetId="1">#REF!</definedName>
    <definedName name="trnPYACT">#REF!</definedName>
    <definedName name="Utility">[7]Financials!$A$1</definedName>
    <definedName name="utitliy1">[9]Financials!$A$1</definedName>
    <definedName name="Uuu">[3]Refs!$B$5</definedName>
    <definedName name="Variable1">Summaries!#REF!</definedName>
    <definedName name="WAGBENF" localSheetId="2">#REF!</definedName>
    <definedName name="WAGBENF" localSheetId="1">#REF!</definedName>
    <definedName name="WAGBENF">#REF!</definedName>
    <definedName name="wagdob" localSheetId="2">#REF!</definedName>
    <definedName name="wagdob" localSheetId="1">#REF!</definedName>
    <definedName name="wagdob">#REF!</definedName>
    <definedName name="wagdobf" localSheetId="2">#REF!</definedName>
    <definedName name="wagdobf" localSheetId="1">#REF!</definedName>
    <definedName name="wagdobf">#REF!</definedName>
    <definedName name="wagreg" localSheetId="2">#REF!</definedName>
    <definedName name="wagreg" localSheetId="1">#REF!</definedName>
    <definedName name="wagreg">#REF!</definedName>
    <definedName name="wagregf" localSheetId="2">#REF!</definedName>
    <definedName name="wagregf" localSheetId="1">#REF!</definedName>
    <definedName name="wagregf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2" i="9" l="1"/>
  <c r="T4" i="61" l="1"/>
  <c r="U4" i="61"/>
  <c r="T5" i="61"/>
  <c r="U5" i="61"/>
  <c r="T6" i="61"/>
  <c r="U6" i="61"/>
  <c r="T7" i="61"/>
  <c r="U7" i="61"/>
  <c r="T8" i="61"/>
  <c r="U8" i="61"/>
  <c r="T9" i="61"/>
  <c r="U9" i="61"/>
  <c r="T10" i="61"/>
  <c r="U10" i="61"/>
  <c r="T11" i="61"/>
  <c r="U11" i="61"/>
  <c r="T12" i="61"/>
  <c r="U12" i="61"/>
  <c r="T13" i="61"/>
  <c r="U13" i="61"/>
  <c r="T14" i="61"/>
  <c r="U14" i="61"/>
  <c r="T15" i="61"/>
  <c r="U15" i="61"/>
  <c r="T16" i="61"/>
  <c r="U16" i="61"/>
  <c r="T17" i="61"/>
  <c r="U17" i="61"/>
  <c r="T18" i="61"/>
  <c r="U18" i="61"/>
  <c r="T19" i="61"/>
  <c r="U19" i="61"/>
  <c r="T20" i="61"/>
  <c r="U20" i="61"/>
  <c r="T21" i="61"/>
  <c r="U21" i="61"/>
  <c r="T22" i="61"/>
  <c r="U22" i="61"/>
  <c r="T23" i="61"/>
  <c r="U23" i="61"/>
  <c r="T24" i="61"/>
  <c r="U24" i="61"/>
  <c r="T25" i="61"/>
  <c r="U25" i="61"/>
  <c r="T26" i="61"/>
  <c r="U26" i="61"/>
  <c r="T27" i="61"/>
  <c r="U27" i="61"/>
  <c r="T28" i="61"/>
  <c r="U28" i="61"/>
  <c r="T29" i="61"/>
  <c r="U29" i="61"/>
  <c r="T30" i="61"/>
  <c r="U30" i="61"/>
  <c r="T31" i="61"/>
  <c r="U31" i="61"/>
  <c r="T32" i="61"/>
  <c r="U32" i="61"/>
  <c r="T33" i="61"/>
  <c r="U33" i="61"/>
  <c r="T34" i="61"/>
  <c r="U34" i="61"/>
  <c r="T35" i="61"/>
  <c r="U35" i="61"/>
  <c r="T36" i="61"/>
  <c r="U36" i="61"/>
  <c r="T37" i="61"/>
  <c r="U37" i="61"/>
  <c r="T38" i="61"/>
  <c r="U38" i="61"/>
  <c r="T39" i="61"/>
  <c r="U39" i="61"/>
  <c r="T40" i="61"/>
  <c r="U40" i="61"/>
  <c r="T41" i="61"/>
  <c r="U41" i="61"/>
  <c r="T42" i="61"/>
  <c r="U42" i="61"/>
  <c r="T43" i="61"/>
  <c r="U43" i="61"/>
  <c r="T44" i="61"/>
  <c r="U44" i="61"/>
  <c r="T45" i="61"/>
  <c r="U45" i="61"/>
  <c r="T46" i="61"/>
  <c r="U46" i="61"/>
  <c r="T47" i="61"/>
  <c r="U47" i="61"/>
  <c r="T48" i="61"/>
  <c r="U48" i="61"/>
  <c r="T49" i="61"/>
  <c r="U49" i="61"/>
  <c r="T50" i="61"/>
  <c r="U50" i="61"/>
  <c r="T51" i="61"/>
  <c r="U51" i="61"/>
  <c r="T52" i="61"/>
  <c r="U52" i="61"/>
  <c r="T53" i="61"/>
  <c r="U53" i="61"/>
  <c r="T54" i="61"/>
  <c r="U54" i="61"/>
  <c r="T55" i="61"/>
  <c r="U55" i="61"/>
  <c r="T56" i="61"/>
  <c r="U56" i="61"/>
  <c r="T57" i="61"/>
  <c r="U57" i="61"/>
  <c r="T58" i="61"/>
  <c r="U58" i="61"/>
  <c r="T59" i="61"/>
  <c r="U59" i="61"/>
  <c r="T60" i="61"/>
  <c r="U60" i="61"/>
  <c r="T61" i="61"/>
  <c r="U61" i="61"/>
  <c r="T62" i="61"/>
  <c r="U62" i="61"/>
  <c r="T63" i="61"/>
  <c r="U63" i="61"/>
  <c r="T64" i="61"/>
  <c r="U64" i="61"/>
  <c r="T65" i="61"/>
  <c r="U65" i="61"/>
  <c r="T66" i="61"/>
  <c r="U66" i="61"/>
  <c r="T67" i="61"/>
  <c r="U67" i="61"/>
  <c r="T68" i="61"/>
  <c r="U68" i="61"/>
  <c r="T69" i="61"/>
  <c r="U69" i="61"/>
  <c r="T70" i="61"/>
  <c r="U70" i="61"/>
  <c r="T71" i="61"/>
  <c r="U71" i="61"/>
  <c r="T72" i="61"/>
  <c r="U72" i="61"/>
  <c r="T73" i="61"/>
  <c r="U73" i="61"/>
  <c r="T74" i="61"/>
  <c r="U74" i="61"/>
  <c r="T75" i="61"/>
  <c r="U75" i="61"/>
  <c r="T76" i="61"/>
  <c r="U76" i="61"/>
  <c r="T77" i="61"/>
  <c r="U77" i="61"/>
  <c r="T78" i="61"/>
  <c r="U78" i="61"/>
  <c r="T79" i="61"/>
  <c r="U79" i="61"/>
  <c r="T80" i="61"/>
  <c r="U80" i="61"/>
  <c r="T81" i="61"/>
  <c r="U81" i="61"/>
  <c r="T82" i="61"/>
  <c r="U82" i="61"/>
  <c r="T83" i="61"/>
  <c r="U83" i="61"/>
  <c r="T84" i="61"/>
  <c r="U84" i="61"/>
  <c r="T85" i="61"/>
  <c r="U85" i="61"/>
  <c r="T86" i="61"/>
  <c r="U86" i="61"/>
  <c r="T87" i="61"/>
  <c r="U87" i="61"/>
  <c r="T88" i="61"/>
  <c r="U88" i="61"/>
  <c r="T89" i="61"/>
  <c r="U89" i="61"/>
  <c r="T90" i="61"/>
  <c r="U90" i="61"/>
  <c r="T91" i="61"/>
  <c r="U91" i="61"/>
  <c r="T92" i="61"/>
  <c r="U92" i="61"/>
  <c r="T93" i="61"/>
  <c r="U93" i="61"/>
  <c r="T94" i="61"/>
  <c r="U94" i="61"/>
  <c r="T95" i="61"/>
  <c r="U95" i="61"/>
  <c r="T96" i="61"/>
  <c r="U96" i="61"/>
  <c r="T97" i="61"/>
  <c r="U97" i="61"/>
  <c r="T98" i="61"/>
  <c r="U98" i="61"/>
  <c r="U3" i="61"/>
  <c r="T3" i="61" l="1"/>
  <c r="H44" i="9"/>
  <c r="I22" i="9" l="1"/>
  <c r="J22" i="9"/>
  <c r="K22" i="9"/>
  <c r="L22" i="9"/>
  <c r="M22" i="9"/>
  <c r="B39" i="17" l="1"/>
  <c r="B37" i="17" s="1"/>
  <c r="B35" i="17"/>
  <c r="H52" i="9" l="1"/>
  <c r="I52" i="9" s="1"/>
  <c r="A50" i="9"/>
  <c r="A53" i="9" s="1"/>
  <c r="A56" i="9" s="1"/>
  <c r="D32" i="18" l="1" a="1"/>
  <c r="D32" i="18" s="1"/>
  <c r="C32" i="18"/>
  <c r="B32" i="18"/>
  <c r="M13" i="9"/>
  <c r="M44" i="9" s="1"/>
  <c r="L13" i="9"/>
  <c r="L44" i="9" s="1"/>
  <c r="K13" i="9"/>
  <c r="K44" i="9" s="1"/>
  <c r="J13" i="9"/>
  <c r="J44" i="9" s="1"/>
  <c r="I13" i="9"/>
  <c r="I44" i="9" s="1"/>
  <c r="H13" i="9"/>
  <c r="D26" i="18"/>
  <c r="C26" i="18"/>
  <c r="B26" i="18"/>
  <c r="D704" i="60" l="1"/>
  <c r="D706" i="60"/>
  <c r="D705" i="60"/>
  <c r="D707" i="60"/>
  <c r="D708" i="60"/>
  <c r="D703" i="60"/>
  <c r="G13" i="9"/>
  <c r="K123" i="73" l="1"/>
  <c r="K124" i="73"/>
  <c r="K125" i="73"/>
  <c r="K126" i="73"/>
  <c r="K127" i="73"/>
  <c r="K128" i="73"/>
  <c r="K129" i="73"/>
  <c r="K130" i="73"/>
  <c r="K131" i="73"/>
  <c r="K132" i="73"/>
  <c r="K133" i="73"/>
  <c r="K134" i="73"/>
  <c r="K135" i="73"/>
  <c r="K136" i="73"/>
  <c r="K137" i="73"/>
  <c r="K138" i="73"/>
  <c r="K139" i="73"/>
  <c r="K140" i="73"/>
  <c r="K141" i="73"/>
  <c r="K142" i="73"/>
  <c r="K143" i="73"/>
  <c r="K144" i="73"/>
  <c r="K145" i="73"/>
  <c r="K146" i="73"/>
  <c r="K122" i="74" l="1"/>
  <c r="K123" i="74"/>
  <c r="K124" i="74"/>
  <c r="K125" i="74"/>
  <c r="K126" i="74"/>
  <c r="K127" i="74"/>
  <c r="K128" i="74"/>
  <c r="K129" i="74"/>
  <c r="K130" i="74"/>
  <c r="K131" i="74"/>
  <c r="K132" i="74"/>
  <c r="K133" i="74"/>
  <c r="K134" i="74"/>
  <c r="K135" i="74"/>
  <c r="K136" i="74"/>
  <c r="K137" i="74"/>
  <c r="K138" i="74"/>
  <c r="K139" i="74"/>
  <c r="K140" i="74"/>
  <c r="K141" i="74"/>
  <c r="K142" i="74"/>
  <c r="K143" i="74"/>
  <c r="K144" i="74"/>
  <c r="K145" i="74"/>
  <c r="K146" i="74"/>
  <c r="D123" i="74"/>
  <c r="D124" i="74"/>
  <c r="D125" i="74"/>
  <c r="D126" i="74"/>
  <c r="D127" i="74"/>
  <c r="D128" i="74"/>
  <c r="D129" i="74"/>
  <c r="D130" i="74"/>
  <c r="D131" i="74"/>
  <c r="E124" i="73" l="1"/>
  <c r="F124" i="73"/>
  <c r="E125" i="73"/>
  <c r="F125" i="73"/>
  <c r="E126" i="73"/>
  <c r="F126" i="73"/>
  <c r="E127" i="73"/>
  <c r="F127" i="73"/>
  <c r="E128" i="73"/>
  <c r="F128" i="73"/>
  <c r="E129" i="73"/>
  <c r="F129" i="73"/>
  <c r="E130" i="73"/>
  <c r="F130" i="73"/>
  <c r="E131" i="73"/>
  <c r="F131" i="73"/>
  <c r="E132" i="73"/>
  <c r="F132" i="73"/>
  <c r="E133" i="73"/>
  <c r="F133" i="73"/>
  <c r="E134" i="73"/>
  <c r="F134" i="73"/>
  <c r="E135" i="73"/>
  <c r="F135" i="73"/>
  <c r="E136" i="73"/>
  <c r="F136" i="73"/>
  <c r="E137" i="73"/>
  <c r="F137" i="73"/>
  <c r="E138" i="73"/>
  <c r="F138" i="73"/>
  <c r="E139" i="73"/>
  <c r="F139" i="73"/>
  <c r="E140" i="73"/>
  <c r="F140" i="73"/>
  <c r="E141" i="73"/>
  <c r="F141" i="73"/>
  <c r="E142" i="73"/>
  <c r="F142" i="73"/>
  <c r="E143" i="73"/>
  <c r="F143" i="73"/>
  <c r="E144" i="73"/>
  <c r="F144" i="73"/>
  <c r="E145" i="73"/>
  <c r="F145" i="73"/>
  <c r="E146" i="73"/>
  <c r="F146" i="73"/>
  <c r="F123" i="73"/>
  <c r="E123" i="73"/>
  <c r="K122" i="73"/>
  <c r="D123" i="73"/>
  <c r="D124" i="73"/>
  <c r="D125" i="73"/>
  <c r="D126" i="73"/>
  <c r="D127" i="73"/>
  <c r="D128" i="73"/>
  <c r="D129" i="73"/>
  <c r="D130" i="73"/>
  <c r="D131" i="73"/>
  <c r="B22" i="17"/>
  <c r="H47" i="9" s="1"/>
  <c r="B21" i="17" l="1"/>
  <c r="C21" i="17"/>
  <c r="D21" i="17"/>
  <c r="E21" i="17"/>
  <c r="F21" i="17"/>
  <c r="G21" i="17"/>
  <c r="E145" i="61" l="1"/>
  <c r="F145" i="61"/>
  <c r="E146" i="61"/>
  <c r="F146" i="61"/>
  <c r="F144" i="61"/>
  <c r="E144" i="61"/>
  <c r="E133" i="61"/>
  <c r="F133" i="61"/>
  <c r="E134" i="61"/>
  <c r="F134" i="61"/>
  <c r="E135" i="61"/>
  <c r="F135" i="61"/>
  <c r="E136" i="61"/>
  <c r="F136" i="61"/>
  <c r="E137" i="61"/>
  <c r="F137" i="61"/>
  <c r="E138" i="61"/>
  <c r="F138" i="61"/>
  <c r="E139" i="61"/>
  <c r="F139" i="61"/>
  <c r="E140" i="61"/>
  <c r="F140" i="61"/>
  <c r="E141" i="61"/>
  <c r="F141" i="61"/>
  <c r="E142" i="61"/>
  <c r="F142" i="61"/>
  <c r="E143" i="61"/>
  <c r="F143" i="61"/>
  <c r="E132" i="61"/>
  <c r="F132" i="61"/>
  <c r="B53" i="17"/>
  <c r="C53" i="17"/>
  <c r="D53" i="17"/>
  <c r="E53" i="17"/>
  <c r="F53" i="17"/>
  <c r="G53" i="17"/>
  <c r="B54" i="17"/>
  <c r="C54" i="17"/>
  <c r="D54" i="17"/>
  <c r="E54" i="17"/>
  <c r="F54" i="17"/>
  <c r="G54" i="17"/>
  <c r="B55" i="17"/>
  <c r="C55" i="17"/>
  <c r="D55" i="17"/>
  <c r="E55" i="17"/>
  <c r="F55" i="17"/>
  <c r="G55" i="17"/>
  <c r="B44" i="17" l="1"/>
  <c r="B57" i="17" s="1"/>
  <c r="C44" i="17"/>
  <c r="D44" i="17"/>
  <c r="E44" i="17"/>
  <c r="F44" i="17"/>
  <c r="G44" i="17"/>
  <c r="G57" i="17" s="1"/>
  <c r="B45" i="17"/>
  <c r="C45" i="17"/>
  <c r="D45" i="17"/>
  <c r="E45" i="17"/>
  <c r="F45" i="17"/>
  <c r="G45" i="17"/>
  <c r="B46" i="17"/>
  <c r="C46" i="17"/>
  <c r="D46" i="17"/>
  <c r="E46" i="17"/>
  <c r="F46" i="17"/>
  <c r="G46" i="17"/>
  <c r="B47" i="17"/>
  <c r="C47" i="17"/>
  <c r="D47" i="17"/>
  <c r="E47" i="17"/>
  <c r="F47" i="17"/>
  <c r="G47" i="17"/>
  <c r="B48" i="17"/>
  <c r="C48" i="17"/>
  <c r="D48" i="17"/>
  <c r="E48" i="17"/>
  <c r="F48" i="17"/>
  <c r="G48" i="17"/>
  <c r="B49" i="17"/>
  <c r="C49" i="17"/>
  <c r="D49" i="17"/>
  <c r="E49" i="17"/>
  <c r="F49" i="17"/>
  <c r="G49" i="17"/>
  <c r="B50" i="17"/>
  <c r="C50" i="17"/>
  <c r="D50" i="17"/>
  <c r="E50" i="17"/>
  <c r="F50" i="17"/>
  <c r="G50" i="17"/>
  <c r="B51" i="17"/>
  <c r="C51" i="17"/>
  <c r="D51" i="17"/>
  <c r="E51" i="17"/>
  <c r="F51" i="17"/>
  <c r="G51" i="17"/>
  <c r="B52" i="17"/>
  <c r="C52" i="17"/>
  <c r="D52" i="17"/>
  <c r="E52" i="17"/>
  <c r="F52" i="17"/>
  <c r="G52" i="17"/>
  <c r="F57" i="17" l="1"/>
  <c r="C57" i="17"/>
  <c r="E57" i="17"/>
  <c r="D57" i="17"/>
  <c r="D7" i="75" l="1"/>
  <c r="E690" i="60" l="1"/>
  <c r="F690" i="60" s="1"/>
  <c r="E691" i="60"/>
  <c r="F691" i="60" s="1"/>
  <c r="E692" i="60"/>
  <c r="F692" i="60" s="1"/>
  <c r="E693" i="60"/>
  <c r="F693" i="60" s="1"/>
  <c r="E694" i="60"/>
  <c r="F694" i="60" s="1"/>
  <c r="E695" i="60"/>
  <c r="F695" i="60" s="1"/>
  <c r="E696" i="60"/>
  <c r="F696" i="60" s="1"/>
  <c r="E697" i="60"/>
  <c r="F697" i="60" s="1"/>
  <c r="F698" i="60" s="1"/>
  <c r="F699" i="60" s="1"/>
  <c r="E698" i="60"/>
  <c r="E699" i="60"/>
  <c r="E689" i="60"/>
  <c r="F689" i="60" s="1"/>
  <c r="E688" i="60"/>
  <c r="F688" i="60" s="1"/>
  <c r="C689" i="60" l="1"/>
  <c r="D689" i="60" s="1"/>
  <c r="C692" i="60"/>
  <c r="D692" i="60" s="1"/>
  <c r="C696" i="60"/>
  <c r="D696" i="60" s="1"/>
  <c r="C694" i="60"/>
  <c r="D694" i="60" s="1"/>
  <c r="C690" i="60"/>
  <c r="D690" i="60" s="1"/>
  <c r="C693" i="60"/>
  <c r="D693" i="60" s="1"/>
  <c r="C698" i="60"/>
  <c r="D698" i="60" s="1"/>
  <c r="C695" i="60"/>
  <c r="D695" i="60" s="1"/>
  <c r="C697" i="60"/>
  <c r="D697" i="60" s="1"/>
  <c r="C699" i="60"/>
  <c r="D699" i="60" s="1"/>
  <c r="C691" i="60"/>
  <c r="D691" i="60" s="1"/>
  <c r="D684" i="60" l="1"/>
  <c r="F684" i="60" s="1"/>
  <c r="C684" i="60"/>
  <c r="D683" i="60"/>
  <c r="F683" i="60" s="1"/>
  <c r="C683" i="60"/>
  <c r="D682" i="60"/>
  <c r="F682" i="60" s="1"/>
  <c r="C682" i="60"/>
  <c r="E684" i="60" l="1"/>
  <c r="E683" i="60"/>
  <c r="E682" i="60"/>
  <c r="C653" i="60" l="1"/>
  <c r="B638" i="60" l="1"/>
  <c r="B639" i="60" s="1"/>
  <c r="B640" i="60" s="1"/>
  <c r="B641" i="60" s="1"/>
  <c r="B642" i="60" s="1"/>
  <c r="B643" i="60" s="1"/>
  <c r="B644" i="60" s="1"/>
  <c r="B645" i="60" s="1"/>
  <c r="B646" i="60" s="1"/>
  <c r="K22" i="75"/>
  <c r="E632" i="60"/>
  <c r="B632" i="60"/>
  <c r="B656" i="60" s="1"/>
  <c r="E631" i="60"/>
  <c r="B631" i="60"/>
  <c r="B655" i="60" s="1"/>
  <c r="E630" i="60"/>
  <c r="B630" i="60"/>
  <c r="B654" i="60" s="1"/>
  <c r="E629" i="60"/>
  <c r="B629" i="60"/>
  <c r="B653" i="60" s="1"/>
  <c r="E628" i="60"/>
  <c r="B628" i="60"/>
  <c r="B652" i="60" s="1"/>
  <c r="E627" i="60"/>
  <c r="B627" i="60"/>
  <c r="B651" i="60" s="1"/>
  <c r="I626" i="60"/>
  <c r="K626" i="60" s="1"/>
  <c r="M626" i="60" s="1"/>
  <c r="H626" i="60"/>
  <c r="J626" i="60" s="1"/>
  <c r="L626" i="60" s="1"/>
  <c r="G619" i="60"/>
  <c r="I619" i="60" s="1"/>
  <c r="K619" i="60" s="1"/>
  <c r="M619" i="60" s="1"/>
  <c r="F619" i="60"/>
  <c r="H619" i="60" s="1"/>
  <c r="J619" i="60" s="1"/>
  <c r="L619" i="60" s="1"/>
  <c r="B616" i="60"/>
  <c r="E614" i="60"/>
  <c r="B614" i="60"/>
  <c r="E613" i="60"/>
  <c r="B613" i="60"/>
  <c r="E612" i="60"/>
  <c r="B612" i="60"/>
  <c r="E611" i="60"/>
  <c r="B611" i="60"/>
  <c r="E610" i="60"/>
  <c r="B610" i="60"/>
  <c r="E609" i="60"/>
  <c r="B609" i="60"/>
  <c r="I608" i="60"/>
  <c r="K608" i="60" s="1"/>
  <c r="M608" i="60" s="1"/>
  <c r="H608" i="60"/>
  <c r="J608" i="60" s="1"/>
  <c r="L608" i="60" s="1"/>
  <c r="G601" i="60"/>
  <c r="I601" i="60" s="1"/>
  <c r="K601" i="60" s="1"/>
  <c r="M601" i="60" s="1"/>
  <c r="F601" i="60"/>
  <c r="H601" i="60" s="1"/>
  <c r="J601" i="60" s="1"/>
  <c r="L601" i="60" s="1"/>
  <c r="B598" i="60"/>
  <c r="B672" i="60" l="1"/>
  <c r="B682" i="60" s="1"/>
  <c r="B706" i="60" s="1"/>
  <c r="B715" i="60" s="1"/>
  <c r="B722" i="60" s="1"/>
  <c r="B663" i="60"/>
  <c r="B673" i="60"/>
  <c r="B683" i="60" s="1"/>
  <c r="B707" i="60" s="1"/>
  <c r="B716" i="60" s="1"/>
  <c r="B723" i="60" s="1"/>
  <c r="B664" i="60"/>
  <c r="B669" i="60"/>
  <c r="B679" i="60" s="1"/>
  <c r="B703" i="60" s="1"/>
  <c r="B712" i="60" s="1"/>
  <c r="B660" i="60"/>
  <c r="B670" i="60"/>
  <c r="B680" i="60" s="1"/>
  <c r="B704" i="60" s="1"/>
  <c r="B713" i="60" s="1"/>
  <c r="B661" i="60"/>
  <c r="B674" i="60"/>
  <c r="B684" i="60" s="1"/>
  <c r="B708" i="60" s="1"/>
  <c r="B717" i="60" s="1"/>
  <c r="B665" i="60"/>
  <c r="B671" i="60"/>
  <c r="B681" i="60" s="1"/>
  <c r="B705" i="60" s="1"/>
  <c r="B714" i="60" s="1"/>
  <c r="B721" i="60" s="1"/>
  <c r="B662" i="60"/>
  <c r="E596" i="60"/>
  <c r="B596" i="60"/>
  <c r="E595" i="60"/>
  <c r="B595" i="60"/>
  <c r="E594" i="60"/>
  <c r="B594" i="60"/>
  <c r="E593" i="60"/>
  <c r="B593" i="60"/>
  <c r="E592" i="60"/>
  <c r="B592" i="60"/>
  <c r="E591" i="60"/>
  <c r="B591" i="60"/>
  <c r="I590" i="60"/>
  <c r="K590" i="60" s="1"/>
  <c r="M590" i="60" s="1"/>
  <c r="H590" i="60"/>
  <c r="J590" i="60" s="1"/>
  <c r="L590" i="60" s="1"/>
  <c r="G583" i="60"/>
  <c r="I583" i="60" s="1"/>
  <c r="K583" i="60" s="1"/>
  <c r="M583" i="60" s="1"/>
  <c r="F583" i="60"/>
  <c r="H583" i="60" s="1"/>
  <c r="J583" i="60" s="1"/>
  <c r="L583" i="60" s="1"/>
  <c r="B580" i="60"/>
  <c r="E578" i="60"/>
  <c r="B578" i="60"/>
  <c r="E577" i="60"/>
  <c r="B577" i="60"/>
  <c r="E576" i="60"/>
  <c r="B576" i="60"/>
  <c r="E575" i="60"/>
  <c r="B575" i="60"/>
  <c r="E574" i="60"/>
  <c r="B574" i="60"/>
  <c r="E573" i="60"/>
  <c r="B573" i="60"/>
  <c r="I572" i="60"/>
  <c r="K572" i="60" s="1"/>
  <c r="M572" i="60" s="1"/>
  <c r="H572" i="60"/>
  <c r="J572" i="60" s="1"/>
  <c r="L572" i="60" s="1"/>
  <c r="G565" i="60"/>
  <c r="I565" i="60" s="1"/>
  <c r="K565" i="60" s="1"/>
  <c r="M565" i="60" s="1"/>
  <c r="F565" i="60"/>
  <c r="H565" i="60" s="1"/>
  <c r="J565" i="60" s="1"/>
  <c r="L565" i="60" s="1"/>
  <c r="B562" i="60"/>
  <c r="E560" i="60"/>
  <c r="B560" i="60"/>
  <c r="E559" i="60"/>
  <c r="B559" i="60"/>
  <c r="E558" i="60"/>
  <c r="B558" i="60"/>
  <c r="E557" i="60"/>
  <c r="B557" i="60"/>
  <c r="E556" i="60"/>
  <c r="B556" i="60"/>
  <c r="E555" i="60"/>
  <c r="B555" i="60"/>
  <c r="I554" i="60"/>
  <c r="K554" i="60" s="1"/>
  <c r="M554" i="60" s="1"/>
  <c r="H554" i="60"/>
  <c r="J554" i="60" s="1"/>
  <c r="L554" i="60" s="1"/>
  <c r="G547" i="60"/>
  <c r="I547" i="60" s="1"/>
  <c r="K547" i="60" s="1"/>
  <c r="M547" i="60" s="1"/>
  <c r="F547" i="60"/>
  <c r="H547" i="60" s="1"/>
  <c r="J547" i="60" s="1"/>
  <c r="L547" i="60" s="1"/>
  <c r="B544" i="60"/>
  <c r="E542" i="60"/>
  <c r="B542" i="60"/>
  <c r="E541" i="60"/>
  <c r="B541" i="60"/>
  <c r="E540" i="60"/>
  <c r="B540" i="60"/>
  <c r="E539" i="60"/>
  <c r="B539" i="60"/>
  <c r="E538" i="60"/>
  <c r="B538" i="60"/>
  <c r="E537" i="60"/>
  <c r="B537" i="60"/>
  <c r="I536" i="60"/>
  <c r="K536" i="60" s="1"/>
  <c r="M536" i="60" s="1"/>
  <c r="H536" i="60"/>
  <c r="J536" i="60" s="1"/>
  <c r="L536" i="60" s="1"/>
  <c r="G529" i="60"/>
  <c r="I529" i="60" s="1"/>
  <c r="K529" i="60" s="1"/>
  <c r="M529" i="60" s="1"/>
  <c r="F529" i="60"/>
  <c r="H529" i="60" s="1"/>
  <c r="J529" i="60" s="1"/>
  <c r="L529" i="60" s="1"/>
  <c r="B526" i="60"/>
  <c r="E524" i="60"/>
  <c r="B524" i="60"/>
  <c r="E523" i="60"/>
  <c r="B523" i="60"/>
  <c r="E522" i="60"/>
  <c r="B522" i="60"/>
  <c r="E521" i="60"/>
  <c r="B521" i="60"/>
  <c r="E520" i="60"/>
  <c r="B520" i="60"/>
  <c r="E519" i="60"/>
  <c r="B519" i="60"/>
  <c r="I518" i="60"/>
  <c r="K518" i="60" s="1"/>
  <c r="M518" i="60" s="1"/>
  <c r="H518" i="60"/>
  <c r="J518" i="60" s="1"/>
  <c r="L518" i="60" s="1"/>
  <c r="G511" i="60"/>
  <c r="I511" i="60" s="1"/>
  <c r="K511" i="60" s="1"/>
  <c r="M511" i="60" s="1"/>
  <c r="F511" i="60"/>
  <c r="H511" i="60" s="1"/>
  <c r="J511" i="60" s="1"/>
  <c r="L511" i="60" s="1"/>
  <c r="B508" i="60"/>
  <c r="E506" i="60"/>
  <c r="B506" i="60"/>
  <c r="E505" i="60"/>
  <c r="B505" i="60"/>
  <c r="E504" i="60"/>
  <c r="B504" i="60"/>
  <c r="E503" i="60"/>
  <c r="B503" i="60"/>
  <c r="E502" i="60"/>
  <c r="B502" i="60"/>
  <c r="E501" i="60"/>
  <c r="B501" i="60"/>
  <c r="I500" i="60"/>
  <c r="K500" i="60" s="1"/>
  <c r="M500" i="60" s="1"/>
  <c r="H500" i="60"/>
  <c r="J500" i="60" s="1"/>
  <c r="L500" i="60" s="1"/>
  <c r="G493" i="60"/>
  <c r="I493" i="60" s="1"/>
  <c r="K493" i="60" s="1"/>
  <c r="M493" i="60" s="1"/>
  <c r="F493" i="60"/>
  <c r="H493" i="60" s="1"/>
  <c r="J493" i="60" s="1"/>
  <c r="L493" i="60" s="1"/>
  <c r="B490" i="60"/>
  <c r="B472" i="60"/>
  <c r="E488" i="60"/>
  <c r="B488" i="60"/>
  <c r="E487" i="60"/>
  <c r="B487" i="60"/>
  <c r="E486" i="60"/>
  <c r="B486" i="60"/>
  <c r="E485" i="60"/>
  <c r="B485" i="60"/>
  <c r="E484" i="60"/>
  <c r="B484" i="60"/>
  <c r="E483" i="60"/>
  <c r="B483" i="60"/>
  <c r="I482" i="60"/>
  <c r="K482" i="60" s="1"/>
  <c r="M482" i="60" s="1"/>
  <c r="H482" i="60"/>
  <c r="J482" i="60" s="1"/>
  <c r="L482" i="60" s="1"/>
  <c r="G475" i="60"/>
  <c r="I475" i="60" s="1"/>
  <c r="K475" i="60" s="1"/>
  <c r="M475" i="60" s="1"/>
  <c r="F475" i="60"/>
  <c r="H475" i="60" s="1"/>
  <c r="J475" i="60" s="1"/>
  <c r="L475" i="60" s="1"/>
  <c r="G457" i="60"/>
  <c r="I457" i="60" s="1"/>
  <c r="K457" i="60" s="1"/>
  <c r="M457" i="60" s="1"/>
  <c r="F457" i="60"/>
  <c r="H457" i="60" s="1"/>
  <c r="J457" i="60" s="1"/>
  <c r="L457" i="60" s="1"/>
  <c r="E470" i="60"/>
  <c r="B470" i="60"/>
  <c r="E469" i="60"/>
  <c r="B469" i="60"/>
  <c r="E468" i="60"/>
  <c r="B468" i="60"/>
  <c r="E467" i="60"/>
  <c r="B467" i="60"/>
  <c r="E466" i="60"/>
  <c r="B466" i="60"/>
  <c r="E465" i="60"/>
  <c r="B465" i="60"/>
  <c r="I464" i="60"/>
  <c r="K464" i="60" s="1"/>
  <c r="M464" i="60" s="1"/>
  <c r="H464" i="60"/>
  <c r="J464" i="60" s="1"/>
  <c r="L464" i="60" s="1"/>
  <c r="B448" i="60"/>
  <c r="B449" i="60"/>
  <c r="B450" i="60"/>
  <c r="B451" i="60"/>
  <c r="B452" i="60"/>
  <c r="B447" i="60"/>
  <c r="P439" i="60"/>
  <c r="I446" i="60"/>
  <c r="K446" i="60" s="1"/>
  <c r="M446" i="60" s="1"/>
  <c r="H446" i="60"/>
  <c r="J446" i="60" s="1"/>
  <c r="L446" i="60" s="1"/>
  <c r="E448" i="60"/>
  <c r="E449" i="60"/>
  <c r="E450" i="60"/>
  <c r="E451" i="60"/>
  <c r="E452" i="60"/>
  <c r="E447" i="60"/>
  <c r="H443" i="60"/>
  <c r="H444" i="60"/>
  <c r="H442" i="60"/>
  <c r="C440" i="60" a="1"/>
  <c r="I439" i="60"/>
  <c r="K439" i="60" s="1"/>
  <c r="M439" i="60" s="1"/>
  <c r="H439" i="60"/>
  <c r="J439" i="60" s="1"/>
  <c r="L439" i="60" s="1"/>
  <c r="C440" i="60" l="1"/>
  <c r="C670" i="60"/>
  <c r="C674" i="60"/>
  <c r="C671" i="60"/>
  <c r="C672" i="60"/>
  <c r="C673" i="60"/>
  <c r="J442" i="60"/>
  <c r="J441" i="60"/>
  <c r="L442" i="60"/>
  <c r="L443" i="60"/>
  <c r="L444" i="60"/>
  <c r="J444" i="60"/>
  <c r="J443" i="60"/>
  <c r="C669" i="60" l="1"/>
  <c r="C675" i="60" s="1"/>
  <c r="O5" i="11"/>
  <c r="O6" i="11"/>
  <c r="O7" i="11"/>
  <c r="O9" i="11"/>
  <c r="O10" i="11"/>
  <c r="O11" i="11"/>
  <c r="O12" i="11"/>
  <c r="O13" i="11"/>
  <c r="O14" i="11"/>
  <c r="O15" i="11"/>
  <c r="O16" i="11"/>
  <c r="O17" i="11"/>
  <c r="O18" i="11"/>
  <c r="O19" i="11"/>
  <c r="O20" i="11"/>
  <c r="O21" i="11"/>
  <c r="O22" i="11"/>
  <c r="O23" i="11"/>
  <c r="O24" i="11"/>
  <c r="O25" i="11"/>
  <c r="O26" i="11"/>
  <c r="O27" i="11"/>
  <c r="O28" i="11"/>
  <c r="O29" i="11"/>
  <c r="O30" i="11"/>
  <c r="O31" i="11"/>
  <c r="O32" i="11"/>
  <c r="O33" i="11"/>
  <c r="O34" i="11"/>
  <c r="O35" i="11"/>
  <c r="O36" i="11"/>
  <c r="O37" i="11"/>
  <c r="O38" i="11"/>
  <c r="O39" i="11"/>
  <c r="O40" i="11"/>
  <c r="O41" i="11"/>
  <c r="O42" i="11"/>
  <c r="O43" i="11"/>
  <c r="O44" i="11"/>
  <c r="O45" i="11"/>
  <c r="O46" i="11"/>
  <c r="O47" i="11"/>
  <c r="O4" i="11"/>
  <c r="D408" i="60" l="1"/>
  <c r="J398" i="60" s="1"/>
  <c r="D413" i="60"/>
  <c r="D412" i="60"/>
  <c r="J382" i="60" s="1"/>
  <c r="D411" i="60"/>
  <c r="J399" i="60" s="1"/>
  <c r="D410" i="60"/>
  <c r="J390" i="60" s="1"/>
  <c r="D409" i="60"/>
  <c r="J381" i="60" s="1"/>
  <c r="D407" i="60"/>
  <c r="J389" i="60" s="1"/>
  <c r="D406" i="60"/>
  <c r="J380" i="60" s="1"/>
  <c r="D405" i="60"/>
  <c r="J397" i="60" s="1"/>
  <c r="D404" i="60"/>
  <c r="J388" i="60" s="1"/>
  <c r="D403" i="60"/>
  <c r="J379" i="60" s="1"/>
  <c r="D402" i="60"/>
  <c r="J387" i="60" s="1"/>
  <c r="D401" i="60"/>
  <c r="J378" i="60" s="1"/>
  <c r="D400" i="60"/>
  <c r="C410" i="60"/>
  <c r="C413" i="60" s="1"/>
  <c r="C411" i="60"/>
  <c r="C416" i="60" s="1"/>
  <c r="C409" i="60"/>
  <c r="C412" i="60" s="1"/>
  <c r="D399" i="60"/>
  <c r="J377" i="60" s="1"/>
  <c r="C391" i="60"/>
  <c r="C390" i="60"/>
  <c r="C388" i="60"/>
  <c r="C389" i="60"/>
  <c r="C394" i="60" s="1"/>
  <c r="C387" i="60"/>
  <c r="C385" i="60"/>
  <c r="C386" i="60"/>
  <c r="C384" i="60"/>
  <c r="C382" i="60"/>
  <c r="C383" i="60"/>
  <c r="C381" i="60"/>
  <c r="C380" i="60"/>
  <c r="C379" i="60"/>
  <c r="C378" i="60"/>
  <c r="C377" i="60"/>
  <c r="E360" i="60"/>
  <c r="C360" i="60"/>
  <c r="B369" i="60"/>
  <c r="B368" i="60" s="1"/>
  <c r="B367" i="60" s="1"/>
  <c r="B366" i="60" s="1"/>
  <c r="B365" i="60" s="1"/>
  <c r="B364" i="60" s="1"/>
  <c r="B363" i="60" s="1"/>
  <c r="B362" i="60" s="1"/>
  <c r="B361" i="60" s="1"/>
  <c r="G343" i="60"/>
  <c r="E343" i="60"/>
  <c r="C343" i="60"/>
  <c r="B352" i="60"/>
  <c r="B351" i="60" s="1"/>
  <c r="B350" i="60" s="1"/>
  <c r="B349" i="60" s="1"/>
  <c r="B348" i="60" s="1"/>
  <c r="B347" i="60" s="1"/>
  <c r="B346" i="60" s="1"/>
  <c r="B345" i="60" s="1"/>
  <c r="B344" i="60" s="1"/>
  <c r="G326" i="60"/>
  <c r="E326" i="60"/>
  <c r="C326" i="60"/>
  <c r="B335" i="60"/>
  <c r="B334" i="60" s="1"/>
  <c r="B333" i="60" s="1"/>
  <c r="B332" i="60" s="1"/>
  <c r="B331" i="60" s="1"/>
  <c r="B330" i="60" s="1"/>
  <c r="B329" i="60" s="1"/>
  <c r="B328" i="60" s="1"/>
  <c r="B327" i="60" s="1"/>
  <c r="G309" i="60"/>
  <c r="E309" i="60"/>
  <c r="C309" i="60"/>
  <c r="B318" i="60"/>
  <c r="B317" i="60" s="1"/>
  <c r="B316" i="60" s="1"/>
  <c r="B315" i="60" s="1"/>
  <c r="B314" i="60" s="1"/>
  <c r="B313" i="60" s="1"/>
  <c r="B312" i="60" s="1"/>
  <c r="B311" i="60" s="1"/>
  <c r="B310" i="60" s="1"/>
  <c r="E292" i="60"/>
  <c r="C292" i="60"/>
  <c r="J383" i="60" l="1"/>
  <c r="J391" i="60"/>
  <c r="F445" i="60"/>
  <c r="J445" i="60" s="1"/>
  <c r="J386" i="60"/>
  <c r="J392" i="60" s="1"/>
  <c r="F440" i="60"/>
  <c r="J401" i="60"/>
  <c r="D414" i="60"/>
  <c r="D416" i="60"/>
  <c r="D415" i="60"/>
  <c r="C679" i="60" l="1"/>
  <c r="J440" i="60"/>
  <c r="B301" i="60"/>
  <c r="B300" i="60" s="1"/>
  <c r="B299" i="60" s="1"/>
  <c r="B298" i="60" s="1"/>
  <c r="B297" i="60" s="1"/>
  <c r="B296" i="60" s="1"/>
  <c r="B295" i="60" s="1"/>
  <c r="B294" i="60" s="1"/>
  <c r="B293" i="60" s="1"/>
  <c r="E275" i="60"/>
  <c r="C275" i="60"/>
  <c r="B284" i="60"/>
  <c r="B283" i="60" s="1"/>
  <c r="B282" i="60" s="1"/>
  <c r="B281" i="60" s="1"/>
  <c r="B280" i="60" s="1"/>
  <c r="B279" i="60" s="1"/>
  <c r="B278" i="60" s="1"/>
  <c r="B277" i="60" s="1"/>
  <c r="B276" i="60" s="1"/>
  <c r="H261" i="60"/>
  <c r="G261" i="60"/>
  <c r="F261" i="60"/>
  <c r="D261" i="60"/>
  <c r="E261" i="60"/>
  <c r="C261" i="60"/>
  <c r="I245" i="60"/>
  <c r="B270" i="60"/>
  <c r="B269" i="60" s="1"/>
  <c r="B268" i="60" s="1"/>
  <c r="B267" i="60" s="1"/>
  <c r="B266" i="60" s="1"/>
  <c r="B265" i="60" s="1"/>
  <c r="B264" i="60" s="1"/>
  <c r="B263" i="60" s="1"/>
  <c r="B262" i="60" s="1"/>
  <c r="B257" i="60"/>
  <c r="B287" i="60" s="1"/>
  <c r="B304" i="60" s="1"/>
  <c r="B321" i="60" s="1"/>
  <c r="B338" i="60" s="1"/>
  <c r="B355" i="60" s="1"/>
  <c r="B372" i="60" s="1"/>
  <c r="B256" i="60"/>
  <c r="B286" i="60" s="1"/>
  <c r="B303" i="60" s="1"/>
  <c r="B320" i="60" s="1"/>
  <c r="B337" i="60" s="1"/>
  <c r="B354" i="60" s="1"/>
  <c r="B371" i="60" s="1"/>
  <c r="B254" i="60"/>
  <c r="B253" i="60" s="1"/>
  <c r="B252" i="60" s="1"/>
  <c r="B251" i="60" s="1"/>
  <c r="B250" i="60" s="1"/>
  <c r="B249" i="60" s="1"/>
  <c r="B248" i="60" s="1"/>
  <c r="B247" i="60" s="1"/>
  <c r="B246" i="60" s="1"/>
  <c r="I261" i="60" l="1"/>
  <c r="C225" i="60" l="1"/>
  <c r="D225" i="60"/>
  <c r="E225" i="60"/>
  <c r="F225" i="60"/>
  <c r="G225" i="60"/>
  <c r="C226" i="60"/>
  <c r="D226" i="60"/>
  <c r="E226" i="60"/>
  <c r="F226" i="60"/>
  <c r="G226" i="60"/>
  <c r="C227" i="60"/>
  <c r="D227" i="60"/>
  <c r="E227" i="60"/>
  <c r="F227" i="60"/>
  <c r="G227" i="60"/>
  <c r="B226" i="60"/>
  <c r="B227" i="60"/>
  <c r="D224" i="60"/>
  <c r="E224" i="60"/>
  <c r="F224" i="60"/>
  <c r="G224" i="60"/>
  <c r="C224" i="60"/>
  <c r="B225" i="60"/>
  <c r="E234" i="60"/>
  <c r="F234" i="60"/>
  <c r="G234" i="60"/>
  <c r="H234" i="60"/>
  <c r="I234" i="60"/>
  <c r="J234" i="60"/>
  <c r="E235" i="60"/>
  <c r="F235" i="60"/>
  <c r="G235" i="60"/>
  <c r="H235" i="60"/>
  <c r="I235" i="60"/>
  <c r="J235" i="60"/>
  <c r="E236" i="60"/>
  <c r="F236" i="60"/>
  <c r="G236" i="60"/>
  <c r="H236" i="60"/>
  <c r="I236" i="60"/>
  <c r="J236" i="60"/>
  <c r="E237" i="60"/>
  <c r="F237" i="60"/>
  <c r="G237" i="60"/>
  <c r="H237" i="60"/>
  <c r="I237" i="60"/>
  <c r="J237" i="60"/>
  <c r="E238" i="60"/>
  <c r="F238" i="60"/>
  <c r="G238" i="60"/>
  <c r="H238" i="60"/>
  <c r="I238" i="60"/>
  <c r="J238" i="60"/>
  <c r="E239" i="60"/>
  <c r="F239" i="60"/>
  <c r="G239" i="60"/>
  <c r="H239" i="60"/>
  <c r="I239" i="60"/>
  <c r="J239" i="60"/>
  <c r="E240" i="60"/>
  <c r="F240" i="60"/>
  <c r="G240" i="60"/>
  <c r="H240" i="60"/>
  <c r="I240" i="60"/>
  <c r="J240" i="60"/>
  <c r="E241" i="60"/>
  <c r="F241" i="60"/>
  <c r="G241" i="60"/>
  <c r="H241" i="60"/>
  <c r="I241" i="60"/>
  <c r="J241" i="60"/>
  <c r="D233" i="60"/>
  <c r="E233" i="60"/>
  <c r="F233" i="60"/>
  <c r="G233" i="60"/>
  <c r="H233" i="60"/>
  <c r="I233" i="60"/>
  <c r="J233" i="60"/>
  <c r="C233" i="60"/>
  <c r="C234" i="60"/>
  <c r="D234" i="60"/>
  <c r="C235" i="60"/>
  <c r="D235" i="60"/>
  <c r="C236" i="60"/>
  <c r="D236" i="60"/>
  <c r="C237" i="60"/>
  <c r="D237" i="60"/>
  <c r="C238" i="60"/>
  <c r="D238" i="60"/>
  <c r="C239" i="60"/>
  <c r="D239" i="60"/>
  <c r="C240" i="60"/>
  <c r="D240" i="60"/>
  <c r="C241" i="60"/>
  <c r="D241" i="60"/>
  <c r="B240" i="60"/>
  <c r="B241" i="60"/>
  <c r="B235" i="60"/>
  <c r="B236" i="60"/>
  <c r="B238" i="60"/>
  <c r="B234" i="60"/>
  <c r="C217" i="60"/>
  <c r="C218" i="60"/>
  <c r="C219" i="60"/>
  <c r="C220" i="60"/>
  <c r="C221" i="60"/>
  <c r="B218" i="60"/>
  <c r="D218" i="60" s="1"/>
  <c r="B219" i="60"/>
  <c r="B220" i="60"/>
  <c r="D220" i="60" s="1"/>
  <c r="B221" i="60"/>
  <c r="D221" i="60" s="1"/>
  <c r="B217" i="60"/>
  <c r="D217" i="60" s="1"/>
  <c r="S7" i="60"/>
  <c r="B62" i="60"/>
  <c r="B61" i="60"/>
  <c r="L28" i="60"/>
  <c r="M28" i="60"/>
  <c r="D219" i="60" l="1"/>
  <c r="C9" i="75" l="1"/>
  <c r="E8" i="75" l="1"/>
  <c r="J49" i="75" l="1"/>
  <c r="J52" i="75"/>
  <c r="J46" i="75"/>
  <c r="J47" i="75"/>
  <c r="B10" i="75" l="1"/>
  <c r="E38" i="75"/>
  <c r="B39" i="75"/>
  <c r="B38" i="75"/>
  <c r="B36" i="75"/>
  <c r="G40" i="75"/>
  <c r="H40" i="75" s="1"/>
  <c r="D39" i="75"/>
  <c r="G39" i="75" s="1"/>
  <c r="H39" i="75" s="1"/>
  <c r="D38" i="75"/>
  <c r="G37" i="75"/>
  <c r="H37" i="75" s="1"/>
  <c r="F36" i="75"/>
  <c r="D36" i="75"/>
  <c r="C36" i="75"/>
  <c r="G35" i="75"/>
  <c r="H35" i="75" s="1"/>
  <c r="G34" i="75"/>
  <c r="H34" i="75" s="1"/>
  <c r="E11" i="75"/>
  <c r="F9" i="75"/>
  <c r="E7" i="75"/>
  <c r="D13" i="75"/>
  <c r="B13" i="75" s="1"/>
  <c r="D12" i="75"/>
  <c r="D11" i="75"/>
  <c r="D9" i="75"/>
  <c r="D8" i="75"/>
  <c r="E9" i="75" l="1"/>
  <c r="B7" i="75"/>
  <c r="B12" i="75"/>
  <c r="B8" i="75"/>
  <c r="B11" i="75"/>
  <c r="G38" i="75"/>
  <c r="H38" i="75" s="1"/>
  <c r="E36" i="75"/>
  <c r="G36" i="75" s="1"/>
  <c r="H36" i="75" l="1"/>
  <c r="H41" i="75" s="1"/>
  <c r="G41" i="75"/>
  <c r="B9" i="75"/>
  <c r="F41" i="75"/>
  <c r="B40" i="75"/>
  <c r="B37" i="75"/>
  <c r="C41" i="75" l="1"/>
  <c r="B35" i="75"/>
  <c r="B34" i="75"/>
  <c r="D41" i="75"/>
  <c r="E41" i="75" l="1"/>
  <c r="B41" i="75"/>
  <c r="F14" i="75" l="1"/>
  <c r="C14" i="75" l="1"/>
  <c r="E14" i="75"/>
  <c r="B14" i="75" l="1"/>
  <c r="D14" i="75"/>
  <c r="J146" i="74"/>
  <c r="B146" i="74"/>
  <c r="A146" i="74"/>
  <c r="J145" i="74"/>
  <c r="B145" i="74"/>
  <c r="A145" i="74"/>
  <c r="J144" i="74"/>
  <c r="B144" i="74"/>
  <c r="A144" i="74"/>
  <c r="J143" i="74"/>
  <c r="B143" i="74"/>
  <c r="A143" i="74"/>
  <c r="J142" i="74"/>
  <c r="B142" i="74"/>
  <c r="A142" i="74"/>
  <c r="J141" i="74"/>
  <c r="B141" i="74"/>
  <c r="A141" i="74"/>
  <c r="J140" i="74"/>
  <c r="B140" i="74"/>
  <c r="A140" i="74"/>
  <c r="J139" i="74"/>
  <c r="B139" i="74"/>
  <c r="A139" i="74"/>
  <c r="J138" i="74"/>
  <c r="B138" i="74"/>
  <c r="A138" i="74"/>
  <c r="J137" i="74"/>
  <c r="B137" i="74"/>
  <c r="A137" i="74"/>
  <c r="J136" i="74"/>
  <c r="B136" i="74"/>
  <c r="A136" i="74"/>
  <c r="J135" i="74"/>
  <c r="B135" i="74"/>
  <c r="A135" i="74"/>
  <c r="J134" i="74"/>
  <c r="B134" i="74"/>
  <c r="A134" i="74"/>
  <c r="J133" i="74"/>
  <c r="B133" i="74"/>
  <c r="A133" i="74"/>
  <c r="J132" i="74"/>
  <c r="B132" i="74"/>
  <c r="A132" i="74"/>
  <c r="J131" i="74"/>
  <c r="B131" i="74"/>
  <c r="A131" i="74"/>
  <c r="J130" i="74"/>
  <c r="B130" i="74"/>
  <c r="A130" i="74"/>
  <c r="J129" i="74"/>
  <c r="B129" i="74"/>
  <c r="A129" i="74"/>
  <c r="J128" i="74"/>
  <c r="B128" i="74"/>
  <c r="A128" i="74"/>
  <c r="J127" i="74"/>
  <c r="B127" i="74"/>
  <c r="A127" i="74"/>
  <c r="J126" i="74"/>
  <c r="B126" i="74"/>
  <c r="A126" i="74"/>
  <c r="J125" i="74"/>
  <c r="B125" i="74"/>
  <c r="A125" i="74"/>
  <c r="J124" i="74"/>
  <c r="B124" i="74"/>
  <c r="A124" i="74"/>
  <c r="J123" i="74"/>
  <c r="B123" i="74"/>
  <c r="A123" i="74"/>
  <c r="J122" i="74"/>
  <c r="B122" i="74"/>
  <c r="A122" i="74"/>
  <c r="K121" i="74"/>
  <c r="J121" i="74"/>
  <c r="B121" i="74"/>
  <c r="A121" i="74"/>
  <c r="K120" i="74"/>
  <c r="J120" i="74"/>
  <c r="B120" i="74"/>
  <c r="A120" i="74"/>
  <c r="K119" i="74"/>
  <c r="J119" i="74"/>
  <c r="B119" i="74"/>
  <c r="A119" i="74"/>
  <c r="K118" i="74"/>
  <c r="J118" i="74"/>
  <c r="B118" i="74"/>
  <c r="A118" i="74"/>
  <c r="K117" i="74"/>
  <c r="J117" i="74"/>
  <c r="B117" i="74"/>
  <c r="A117" i="74"/>
  <c r="K116" i="74"/>
  <c r="J116" i="74"/>
  <c r="B116" i="74"/>
  <c r="A116" i="74"/>
  <c r="K115" i="74"/>
  <c r="J115" i="74"/>
  <c r="B115" i="74"/>
  <c r="A115" i="74"/>
  <c r="K114" i="74"/>
  <c r="J114" i="74"/>
  <c r="B114" i="74"/>
  <c r="A114" i="74"/>
  <c r="K113" i="74"/>
  <c r="J113" i="74"/>
  <c r="B113" i="74"/>
  <c r="A113" i="74"/>
  <c r="K112" i="74"/>
  <c r="J112" i="74"/>
  <c r="B112" i="74"/>
  <c r="A112" i="74"/>
  <c r="K111" i="74"/>
  <c r="J111" i="74"/>
  <c r="B111" i="74"/>
  <c r="A111" i="74"/>
  <c r="K110" i="74"/>
  <c r="J110" i="74"/>
  <c r="B110" i="74"/>
  <c r="A110" i="74"/>
  <c r="K109" i="74"/>
  <c r="J109" i="74"/>
  <c r="B109" i="74"/>
  <c r="A109" i="74"/>
  <c r="K108" i="74"/>
  <c r="J108" i="74"/>
  <c r="B108" i="74"/>
  <c r="A108" i="74"/>
  <c r="K107" i="74"/>
  <c r="J107" i="74"/>
  <c r="B107" i="74"/>
  <c r="A107" i="74"/>
  <c r="K106" i="74"/>
  <c r="J106" i="74"/>
  <c r="B106" i="74"/>
  <c r="A106" i="74"/>
  <c r="K105" i="74"/>
  <c r="J105" i="74"/>
  <c r="B105" i="74"/>
  <c r="A105" i="74"/>
  <c r="K104" i="74"/>
  <c r="J104" i="74"/>
  <c r="B104" i="74"/>
  <c r="A104" i="74"/>
  <c r="K103" i="74"/>
  <c r="J103" i="74"/>
  <c r="B103" i="74"/>
  <c r="A103" i="74"/>
  <c r="K102" i="74"/>
  <c r="B102" i="74"/>
  <c r="A102" i="74"/>
  <c r="K101" i="74"/>
  <c r="J101" i="74"/>
  <c r="B101" i="74"/>
  <c r="A101" i="74"/>
  <c r="K100" i="74"/>
  <c r="J100" i="74"/>
  <c r="B100" i="74"/>
  <c r="A100" i="74"/>
  <c r="K99" i="74"/>
  <c r="J99" i="74"/>
  <c r="B99" i="74"/>
  <c r="A99" i="74"/>
  <c r="K98" i="74"/>
  <c r="J98" i="74"/>
  <c r="B98" i="74"/>
  <c r="A98" i="74"/>
  <c r="K97" i="74"/>
  <c r="J97" i="74"/>
  <c r="B97" i="74"/>
  <c r="A97" i="74"/>
  <c r="K96" i="74"/>
  <c r="J96" i="74"/>
  <c r="B96" i="74"/>
  <c r="A96" i="74"/>
  <c r="K95" i="74"/>
  <c r="J95" i="74"/>
  <c r="B95" i="74"/>
  <c r="A95" i="74"/>
  <c r="K94" i="74"/>
  <c r="J94" i="74"/>
  <c r="B94" i="74"/>
  <c r="A94" i="74"/>
  <c r="K93" i="74"/>
  <c r="J93" i="74"/>
  <c r="B93" i="74"/>
  <c r="A93" i="74"/>
  <c r="K92" i="74"/>
  <c r="J92" i="74"/>
  <c r="B92" i="74"/>
  <c r="A92" i="74"/>
  <c r="K91" i="74"/>
  <c r="B91" i="74"/>
  <c r="A91" i="74"/>
  <c r="K90" i="74"/>
  <c r="B90" i="74"/>
  <c r="A90" i="74"/>
  <c r="K89" i="74"/>
  <c r="B89" i="74"/>
  <c r="A89" i="74"/>
  <c r="K88" i="74"/>
  <c r="J88" i="74"/>
  <c r="B88" i="74"/>
  <c r="A88" i="74"/>
  <c r="K87" i="74"/>
  <c r="J87" i="74"/>
  <c r="B87" i="74"/>
  <c r="A87" i="74"/>
  <c r="K86" i="74"/>
  <c r="J86" i="74"/>
  <c r="B86" i="74"/>
  <c r="A86" i="74"/>
  <c r="K85" i="74"/>
  <c r="J85" i="74"/>
  <c r="B85" i="74"/>
  <c r="A85" i="74"/>
  <c r="K84" i="74"/>
  <c r="J84" i="74"/>
  <c r="B84" i="74"/>
  <c r="A84" i="74"/>
  <c r="K83" i="74"/>
  <c r="J83" i="74"/>
  <c r="B83" i="74"/>
  <c r="A83" i="74"/>
  <c r="K82" i="74"/>
  <c r="J82" i="74"/>
  <c r="B82" i="74"/>
  <c r="A82" i="74"/>
  <c r="K81" i="74"/>
  <c r="J81" i="74"/>
  <c r="B81" i="74"/>
  <c r="A81" i="74"/>
  <c r="K80" i="74"/>
  <c r="J80" i="74"/>
  <c r="B80" i="74"/>
  <c r="A80" i="74"/>
  <c r="K79" i="74"/>
  <c r="J79" i="74"/>
  <c r="B79" i="74"/>
  <c r="A79" i="74"/>
  <c r="K78" i="74"/>
  <c r="J78" i="74"/>
  <c r="B78" i="74"/>
  <c r="A78" i="74"/>
  <c r="K77" i="74"/>
  <c r="J77" i="74"/>
  <c r="B77" i="74"/>
  <c r="A77" i="74"/>
  <c r="K76" i="74"/>
  <c r="J76" i="74"/>
  <c r="B76" i="74"/>
  <c r="A76" i="74"/>
  <c r="K75" i="74"/>
  <c r="J75" i="74"/>
  <c r="B75" i="74"/>
  <c r="A75" i="74"/>
  <c r="K74" i="74"/>
  <c r="J74" i="74"/>
  <c r="B74" i="74"/>
  <c r="A74" i="74"/>
  <c r="K73" i="74"/>
  <c r="J73" i="74"/>
  <c r="B73" i="74"/>
  <c r="A73" i="74"/>
  <c r="K72" i="74"/>
  <c r="J72" i="74"/>
  <c r="B72" i="74"/>
  <c r="A72" i="74"/>
  <c r="K71" i="74"/>
  <c r="J71" i="74"/>
  <c r="B71" i="74"/>
  <c r="A71" i="74"/>
  <c r="K70" i="74"/>
  <c r="J70" i="74"/>
  <c r="B70" i="74"/>
  <c r="A70" i="74"/>
  <c r="K69" i="74"/>
  <c r="J69" i="74"/>
  <c r="B69" i="74"/>
  <c r="A69" i="74"/>
  <c r="K68" i="74"/>
  <c r="J68" i="74"/>
  <c r="B68" i="74"/>
  <c r="A68" i="74"/>
  <c r="K67" i="74"/>
  <c r="J67" i="74"/>
  <c r="B67" i="74"/>
  <c r="A67" i="74"/>
  <c r="K66" i="74"/>
  <c r="J66" i="74"/>
  <c r="B66" i="74"/>
  <c r="A66" i="74"/>
  <c r="K65" i="74"/>
  <c r="J65" i="74"/>
  <c r="B65" i="74"/>
  <c r="A65" i="74"/>
  <c r="K64" i="74"/>
  <c r="J64" i="74"/>
  <c r="B64" i="74"/>
  <c r="A64" i="74"/>
  <c r="K63" i="74"/>
  <c r="J63" i="74"/>
  <c r="B63" i="74"/>
  <c r="A63" i="74"/>
  <c r="K62" i="74"/>
  <c r="J62" i="74"/>
  <c r="B62" i="74"/>
  <c r="A62" i="74"/>
  <c r="K61" i="74"/>
  <c r="J61" i="74"/>
  <c r="B61" i="74"/>
  <c r="A61" i="74"/>
  <c r="K60" i="74"/>
  <c r="J60" i="74"/>
  <c r="B60" i="74"/>
  <c r="A60" i="74"/>
  <c r="K59" i="74"/>
  <c r="J59" i="74"/>
  <c r="B59" i="74"/>
  <c r="A59" i="74"/>
  <c r="K58" i="74"/>
  <c r="J58" i="74"/>
  <c r="B58" i="74"/>
  <c r="A58" i="74"/>
  <c r="K57" i="74"/>
  <c r="J57" i="74"/>
  <c r="B57" i="74"/>
  <c r="A57" i="74"/>
  <c r="K56" i="74"/>
  <c r="J56" i="74"/>
  <c r="B56" i="74"/>
  <c r="A56" i="74"/>
  <c r="K55" i="74"/>
  <c r="J55" i="74"/>
  <c r="B55" i="74"/>
  <c r="A55" i="74"/>
  <c r="K54" i="74"/>
  <c r="J54" i="74"/>
  <c r="B54" i="74"/>
  <c r="A54" i="74"/>
  <c r="K53" i="74"/>
  <c r="J53" i="74"/>
  <c r="B53" i="74"/>
  <c r="A53" i="74"/>
  <c r="K52" i="74"/>
  <c r="J52" i="74"/>
  <c r="B52" i="74"/>
  <c r="A52" i="74"/>
  <c r="K51" i="74"/>
  <c r="J51" i="74"/>
  <c r="B51" i="74"/>
  <c r="A51" i="74"/>
  <c r="K50" i="74"/>
  <c r="J50" i="74"/>
  <c r="B50" i="74"/>
  <c r="A50" i="74"/>
  <c r="K49" i="74"/>
  <c r="J49" i="74"/>
  <c r="B49" i="74"/>
  <c r="A49" i="74"/>
  <c r="K48" i="74"/>
  <c r="J48" i="74"/>
  <c r="B48" i="74"/>
  <c r="A48" i="74"/>
  <c r="K47" i="74"/>
  <c r="J47" i="74"/>
  <c r="B47" i="74"/>
  <c r="A47" i="74"/>
  <c r="K46" i="74"/>
  <c r="J46" i="74"/>
  <c r="B46" i="74"/>
  <c r="A46" i="74"/>
  <c r="K45" i="74"/>
  <c r="J45" i="74"/>
  <c r="B45" i="74"/>
  <c r="A45" i="74"/>
  <c r="K44" i="74"/>
  <c r="J44" i="74"/>
  <c r="B44" i="74"/>
  <c r="A44" i="74"/>
  <c r="K43" i="74"/>
  <c r="J43" i="74"/>
  <c r="B43" i="74"/>
  <c r="A43" i="74"/>
  <c r="K42" i="74"/>
  <c r="J42" i="74"/>
  <c r="B42" i="74"/>
  <c r="A42" i="74"/>
  <c r="K41" i="74"/>
  <c r="J41" i="74"/>
  <c r="B41" i="74"/>
  <c r="A41" i="74"/>
  <c r="K40" i="74"/>
  <c r="J40" i="74"/>
  <c r="B40" i="74"/>
  <c r="A40" i="74"/>
  <c r="K39" i="74"/>
  <c r="J39" i="74"/>
  <c r="B39" i="74"/>
  <c r="A39" i="74"/>
  <c r="K38" i="74"/>
  <c r="J38" i="74"/>
  <c r="H38" i="74"/>
  <c r="H50" i="74" s="1"/>
  <c r="H62" i="74" s="1"/>
  <c r="H74" i="74" s="1"/>
  <c r="H86" i="74" s="1"/>
  <c r="H98" i="74" s="1"/>
  <c r="H110" i="74" s="1"/>
  <c r="H122" i="74" s="1"/>
  <c r="H134" i="74" s="1"/>
  <c r="H146" i="74" s="1"/>
  <c r="B38" i="74"/>
  <c r="A38" i="74"/>
  <c r="K37" i="74"/>
  <c r="J37" i="74"/>
  <c r="B37" i="74"/>
  <c r="A37" i="74"/>
  <c r="K36" i="74"/>
  <c r="J36" i="74"/>
  <c r="B36" i="74"/>
  <c r="A36" i="74"/>
  <c r="K35" i="74"/>
  <c r="J35" i="74"/>
  <c r="B35" i="74"/>
  <c r="A35" i="74"/>
  <c r="K34" i="74"/>
  <c r="J34" i="74"/>
  <c r="B34" i="74"/>
  <c r="A34" i="74"/>
  <c r="K33" i="74"/>
  <c r="J33" i="74"/>
  <c r="B33" i="74"/>
  <c r="A33" i="74"/>
  <c r="K32" i="74"/>
  <c r="J32" i="74"/>
  <c r="B32" i="74"/>
  <c r="A32" i="74"/>
  <c r="K31" i="74"/>
  <c r="J31" i="74"/>
  <c r="B31" i="74"/>
  <c r="A31" i="74"/>
  <c r="K30" i="74"/>
  <c r="J30" i="74"/>
  <c r="B30" i="74"/>
  <c r="A30" i="74"/>
  <c r="K29" i="74"/>
  <c r="J29" i="74"/>
  <c r="H29" i="74"/>
  <c r="H41" i="74" s="1"/>
  <c r="H53" i="74" s="1"/>
  <c r="H65" i="74" s="1"/>
  <c r="H77" i="74" s="1"/>
  <c r="H89" i="74" s="1"/>
  <c r="H101" i="74" s="1"/>
  <c r="H113" i="74" s="1"/>
  <c r="H125" i="74" s="1"/>
  <c r="H137" i="74" s="1"/>
  <c r="B29" i="74"/>
  <c r="A29" i="74"/>
  <c r="K28" i="74"/>
  <c r="J28" i="74"/>
  <c r="B28" i="74"/>
  <c r="A28" i="74"/>
  <c r="K27" i="74"/>
  <c r="J27" i="74"/>
  <c r="B27" i="74"/>
  <c r="A27" i="74"/>
  <c r="K26" i="74"/>
  <c r="J26" i="74"/>
  <c r="H26" i="74"/>
  <c r="B26" i="74"/>
  <c r="A26" i="74"/>
  <c r="K25" i="74"/>
  <c r="J25" i="74"/>
  <c r="B25" i="74"/>
  <c r="A25" i="74"/>
  <c r="K24" i="74"/>
  <c r="J24" i="74"/>
  <c r="B24" i="74"/>
  <c r="A24" i="74"/>
  <c r="K23" i="74"/>
  <c r="J23" i="74"/>
  <c r="H23" i="74"/>
  <c r="H35" i="74" s="1"/>
  <c r="H47" i="74" s="1"/>
  <c r="B23" i="74"/>
  <c r="A23" i="74"/>
  <c r="K22" i="74"/>
  <c r="J22" i="74"/>
  <c r="B22" i="74"/>
  <c r="A22" i="74"/>
  <c r="K21" i="74"/>
  <c r="J21" i="74"/>
  <c r="B21" i="74"/>
  <c r="A21" i="74"/>
  <c r="K20" i="74"/>
  <c r="J20" i="74"/>
  <c r="H20" i="74"/>
  <c r="H32" i="74" s="1"/>
  <c r="H44" i="74" s="1"/>
  <c r="H56" i="74" s="1"/>
  <c r="H68" i="74" s="1"/>
  <c r="H80" i="74" s="1"/>
  <c r="H92" i="74" s="1"/>
  <c r="H104" i="74" s="1"/>
  <c r="H116" i="74" s="1"/>
  <c r="H128" i="74" s="1"/>
  <c r="H140" i="74" s="1"/>
  <c r="B20" i="74"/>
  <c r="A20" i="74"/>
  <c r="K19" i="74"/>
  <c r="J19" i="74"/>
  <c r="B19" i="74"/>
  <c r="A19" i="74"/>
  <c r="K18" i="74"/>
  <c r="J18" i="74"/>
  <c r="B18" i="74"/>
  <c r="A18" i="74"/>
  <c r="K17" i="74"/>
  <c r="J17" i="74"/>
  <c r="H17" i="74"/>
  <c r="B17" i="74"/>
  <c r="A17" i="74"/>
  <c r="K16" i="74"/>
  <c r="J16" i="74"/>
  <c r="B16" i="74"/>
  <c r="A16" i="74"/>
  <c r="K15" i="74"/>
  <c r="J15" i="74"/>
  <c r="B15" i="74"/>
  <c r="A15" i="74"/>
  <c r="K14" i="74"/>
  <c r="J14" i="74"/>
  <c r="B14" i="74"/>
  <c r="A14" i="74"/>
  <c r="K13" i="74"/>
  <c r="J13" i="74"/>
  <c r="H13" i="74"/>
  <c r="H25" i="74" s="1"/>
  <c r="H37" i="74" s="1"/>
  <c r="H49" i="74" s="1"/>
  <c r="H61" i="74" s="1"/>
  <c r="H73" i="74" s="1"/>
  <c r="H85" i="74" s="1"/>
  <c r="H97" i="74" s="1"/>
  <c r="H109" i="74" s="1"/>
  <c r="H121" i="74" s="1"/>
  <c r="H133" i="74" s="1"/>
  <c r="H145" i="74" s="1"/>
  <c r="B13" i="74"/>
  <c r="A13" i="74"/>
  <c r="K12" i="74"/>
  <c r="J12" i="74"/>
  <c r="H12" i="74"/>
  <c r="H24" i="74" s="1"/>
  <c r="H36" i="74" s="1"/>
  <c r="H48" i="74" s="1"/>
  <c r="H60" i="74" s="1"/>
  <c r="H72" i="74" s="1"/>
  <c r="H84" i="74" s="1"/>
  <c r="H96" i="74" s="1"/>
  <c r="B12" i="74"/>
  <c r="A12" i="74"/>
  <c r="K11" i="74"/>
  <c r="J11" i="74"/>
  <c r="B11" i="74"/>
  <c r="A11" i="74"/>
  <c r="K10" i="74"/>
  <c r="J10" i="74"/>
  <c r="H10" i="74"/>
  <c r="B10" i="74"/>
  <c r="A10" i="74"/>
  <c r="K9" i="74"/>
  <c r="J9" i="74"/>
  <c r="H9" i="74"/>
  <c r="H21" i="74" s="1"/>
  <c r="H33" i="74" s="1"/>
  <c r="H45" i="74" s="1"/>
  <c r="H57" i="74" s="1"/>
  <c r="H69" i="74" s="1"/>
  <c r="H81" i="74" s="1"/>
  <c r="H93" i="74" s="1"/>
  <c r="H105" i="74" s="1"/>
  <c r="H117" i="74" s="1"/>
  <c r="H129" i="74" s="1"/>
  <c r="H141" i="74" s="1"/>
  <c r="B9" i="74"/>
  <c r="A9" i="74"/>
  <c r="K8" i="74"/>
  <c r="J8" i="74"/>
  <c r="B8" i="74"/>
  <c r="A8" i="74"/>
  <c r="K7" i="74"/>
  <c r="J7" i="74"/>
  <c r="H7" i="74"/>
  <c r="H19" i="74" s="1"/>
  <c r="H31" i="74" s="1"/>
  <c r="H43" i="74" s="1"/>
  <c r="H55" i="74" s="1"/>
  <c r="B7" i="74"/>
  <c r="A7" i="74"/>
  <c r="K6" i="74"/>
  <c r="J6" i="74"/>
  <c r="H6" i="74"/>
  <c r="H18" i="74" s="1"/>
  <c r="H30" i="74" s="1"/>
  <c r="H42" i="74" s="1"/>
  <c r="H54" i="74" s="1"/>
  <c r="H66" i="74" s="1"/>
  <c r="H78" i="74" s="1"/>
  <c r="B6" i="74"/>
  <c r="A6" i="74"/>
  <c r="K5" i="74"/>
  <c r="J5" i="74"/>
  <c r="B5" i="74"/>
  <c r="A5" i="74"/>
  <c r="K4" i="74"/>
  <c r="J4" i="74"/>
  <c r="H4" i="74"/>
  <c r="H16" i="74" s="1"/>
  <c r="H28" i="74" s="1"/>
  <c r="H40" i="74" s="1"/>
  <c r="H52" i="74" s="1"/>
  <c r="H64" i="74" s="1"/>
  <c r="H76" i="74" s="1"/>
  <c r="H88" i="74" s="1"/>
  <c r="H100" i="74" s="1"/>
  <c r="H112" i="74" s="1"/>
  <c r="H124" i="74" s="1"/>
  <c r="H136" i="74" s="1"/>
  <c r="B4" i="74"/>
  <c r="A4" i="74"/>
  <c r="K3" i="74"/>
  <c r="J3" i="74"/>
  <c r="H3" i="74"/>
  <c r="H15" i="74" s="1"/>
  <c r="H27" i="74" s="1"/>
  <c r="H39" i="74" s="1"/>
  <c r="B3" i="74"/>
  <c r="A3" i="74"/>
  <c r="H90" i="74" l="1"/>
  <c r="H102" i="74" s="1"/>
  <c r="H114" i="74" s="1"/>
  <c r="H126" i="74" s="1"/>
  <c r="H138" i="74" s="1"/>
  <c r="H67" i="74"/>
  <c r="H79" i="74" s="1"/>
  <c r="H59" i="74"/>
  <c r="H71" i="74" s="1"/>
  <c r="H51" i="74"/>
  <c r="H63" i="74" s="1"/>
  <c r="H108" i="74"/>
  <c r="H120" i="74" s="1"/>
  <c r="H132" i="74" s="1"/>
  <c r="H144" i="74" s="1"/>
  <c r="H22" i="74"/>
  <c r="H34" i="74" s="1"/>
  <c r="H46" i="74" s="1"/>
  <c r="H83" i="74" l="1"/>
  <c r="H75" i="74"/>
  <c r="H58" i="74"/>
  <c r="H91" i="74"/>
  <c r="A5" i="9"/>
  <c r="A6" i="9" s="1"/>
  <c r="A7" i="9" s="1"/>
  <c r="A8" i="9" s="1"/>
  <c r="A9" i="9" s="1"/>
  <c r="A10" i="9" s="1"/>
  <c r="A11" i="9" s="1"/>
  <c r="A12" i="9" s="1"/>
  <c r="A14" i="9" s="1"/>
  <c r="A15" i="9" s="1"/>
  <c r="H103" i="74" l="1"/>
  <c r="H87" i="74"/>
  <c r="H95" i="74"/>
  <c r="H70" i="74"/>
  <c r="J146" i="73"/>
  <c r="B146" i="73"/>
  <c r="A146" i="73"/>
  <c r="J145" i="73"/>
  <c r="B145" i="73"/>
  <c r="A145" i="73"/>
  <c r="J144" i="73"/>
  <c r="B144" i="73"/>
  <c r="A144" i="73"/>
  <c r="J143" i="73"/>
  <c r="B143" i="73"/>
  <c r="A143" i="73"/>
  <c r="J142" i="73"/>
  <c r="B142" i="73"/>
  <c r="A142" i="73"/>
  <c r="J141" i="73"/>
  <c r="B141" i="73"/>
  <c r="A141" i="73"/>
  <c r="J140" i="73"/>
  <c r="B140" i="73"/>
  <c r="A140" i="73"/>
  <c r="J139" i="73"/>
  <c r="B139" i="73"/>
  <c r="A139" i="73"/>
  <c r="J138" i="73"/>
  <c r="B138" i="73"/>
  <c r="A138" i="73"/>
  <c r="J137" i="73"/>
  <c r="B137" i="73"/>
  <c r="A137" i="73"/>
  <c r="J136" i="73"/>
  <c r="B136" i="73"/>
  <c r="A136" i="73"/>
  <c r="J135" i="73"/>
  <c r="B135" i="73"/>
  <c r="A135" i="73"/>
  <c r="J134" i="73"/>
  <c r="B134" i="73"/>
  <c r="A134" i="73"/>
  <c r="J133" i="73"/>
  <c r="B133" i="73"/>
  <c r="A133" i="73"/>
  <c r="J132" i="73"/>
  <c r="B132" i="73"/>
  <c r="A132" i="73"/>
  <c r="J131" i="73"/>
  <c r="B131" i="73"/>
  <c r="A131" i="73"/>
  <c r="J130" i="73"/>
  <c r="B130" i="73"/>
  <c r="A130" i="73"/>
  <c r="J129" i="73"/>
  <c r="B129" i="73"/>
  <c r="A129" i="73"/>
  <c r="J128" i="73"/>
  <c r="B128" i="73"/>
  <c r="A128" i="73"/>
  <c r="J127" i="73"/>
  <c r="B127" i="73"/>
  <c r="A127" i="73"/>
  <c r="J126" i="73"/>
  <c r="B126" i="73"/>
  <c r="A126" i="73"/>
  <c r="J125" i="73"/>
  <c r="B125" i="73"/>
  <c r="A125" i="73"/>
  <c r="J124" i="73"/>
  <c r="B124" i="73"/>
  <c r="A124" i="73"/>
  <c r="J123" i="73"/>
  <c r="B123" i="73"/>
  <c r="A123" i="73"/>
  <c r="J122" i="73"/>
  <c r="F122" i="73"/>
  <c r="E122" i="73"/>
  <c r="B122" i="73"/>
  <c r="A122" i="73"/>
  <c r="K121" i="73"/>
  <c r="J121" i="73"/>
  <c r="F121" i="73"/>
  <c r="B121" i="73"/>
  <c r="A121" i="73"/>
  <c r="E121" i="73" s="1"/>
  <c r="K120" i="73"/>
  <c r="J120" i="73"/>
  <c r="E120" i="73"/>
  <c r="B120" i="73"/>
  <c r="A120" i="73"/>
  <c r="F120" i="73" s="1"/>
  <c r="K119" i="73"/>
  <c r="J119" i="73"/>
  <c r="B119" i="73"/>
  <c r="A119" i="73"/>
  <c r="K118" i="73"/>
  <c r="J118" i="73"/>
  <c r="B118" i="73"/>
  <c r="A118" i="73"/>
  <c r="K117" i="73"/>
  <c r="J117" i="73"/>
  <c r="B117" i="73"/>
  <c r="A117" i="73"/>
  <c r="K116" i="73"/>
  <c r="J116" i="73"/>
  <c r="B116" i="73"/>
  <c r="A116" i="73"/>
  <c r="F116" i="73" s="1"/>
  <c r="K115" i="73"/>
  <c r="J115" i="73"/>
  <c r="B115" i="73"/>
  <c r="A115" i="73"/>
  <c r="E115" i="73" s="1"/>
  <c r="K114" i="73"/>
  <c r="J114" i="73"/>
  <c r="B114" i="73"/>
  <c r="A114" i="73"/>
  <c r="F114" i="73" s="1"/>
  <c r="K113" i="73"/>
  <c r="J113" i="73"/>
  <c r="E113" i="73"/>
  <c r="B113" i="73"/>
  <c r="A113" i="73"/>
  <c r="F113" i="73" s="1"/>
  <c r="K112" i="73"/>
  <c r="J112" i="73"/>
  <c r="E112" i="73"/>
  <c r="B112" i="73"/>
  <c r="A112" i="73"/>
  <c r="F112" i="73" s="1"/>
  <c r="K111" i="73"/>
  <c r="J111" i="73"/>
  <c r="B111" i="73"/>
  <c r="A111" i="73"/>
  <c r="K110" i="73"/>
  <c r="J110" i="73"/>
  <c r="B110" i="73"/>
  <c r="A110" i="73"/>
  <c r="K109" i="73"/>
  <c r="J109" i="73"/>
  <c r="B109" i="73"/>
  <c r="A109" i="73"/>
  <c r="K108" i="73"/>
  <c r="J108" i="73"/>
  <c r="B108" i="73"/>
  <c r="A108" i="73"/>
  <c r="F108" i="73" s="1"/>
  <c r="K107" i="73"/>
  <c r="J107" i="73"/>
  <c r="B107" i="73"/>
  <c r="A107" i="73"/>
  <c r="E107" i="73" s="1"/>
  <c r="K106" i="73"/>
  <c r="J106" i="73"/>
  <c r="B106" i="73"/>
  <c r="A106" i="73"/>
  <c r="F106" i="73" s="1"/>
  <c r="K105" i="73"/>
  <c r="J105" i="73"/>
  <c r="B105" i="73"/>
  <c r="A105" i="73"/>
  <c r="F105" i="73" s="1"/>
  <c r="K104" i="73"/>
  <c r="J104" i="73"/>
  <c r="B104" i="73"/>
  <c r="A104" i="73"/>
  <c r="F104" i="73" s="1"/>
  <c r="K103" i="73"/>
  <c r="J103" i="73"/>
  <c r="B103" i="73"/>
  <c r="A103" i="73"/>
  <c r="K102" i="73"/>
  <c r="B102" i="73"/>
  <c r="A102" i="73"/>
  <c r="K101" i="73"/>
  <c r="J101" i="73"/>
  <c r="B101" i="73"/>
  <c r="A101" i="73"/>
  <c r="F101" i="73" s="1"/>
  <c r="K100" i="73"/>
  <c r="J100" i="73"/>
  <c r="B100" i="73"/>
  <c r="A100" i="73"/>
  <c r="E100" i="73" s="1"/>
  <c r="K99" i="73"/>
  <c r="J99" i="73"/>
  <c r="B99" i="73"/>
  <c r="A99" i="73"/>
  <c r="F99" i="73" s="1"/>
  <c r="K98" i="73"/>
  <c r="J98" i="73"/>
  <c r="B98" i="73"/>
  <c r="A98" i="73"/>
  <c r="E98" i="73" s="1"/>
  <c r="K97" i="73"/>
  <c r="J97" i="73"/>
  <c r="B97" i="73"/>
  <c r="A97" i="73"/>
  <c r="F97" i="73" s="1"/>
  <c r="K96" i="73"/>
  <c r="J96" i="73"/>
  <c r="B96" i="73"/>
  <c r="A96" i="73"/>
  <c r="K95" i="73"/>
  <c r="J95" i="73"/>
  <c r="B95" i="73"/>
  <c r="A95" i="73"/>
  <c r="K94" i="73"/>
  <c r="J94" i="73"/>
  <c r="F94" i="73"/>
  <c r="B94" i="73"/>
  <c r="A94" i="73"/>
  <c r="E94" i="73" s="1"/>
  <c r="K93" i="73"/>
  <c r="J93" i="73"/>
  <c r="E93" i="73"/>
  <c r="B93" i="73"/>
  <c r="A93" i="73"/>
  <c r="F93" i="73" s="1"/>
  <c r="K92" i="73"/>
  <c r="J92" i="73"/>
  <c r="F92" i="73"/>
  <c r="B92" i="73"/>
  <c r="A92" i="73"/>
  <c r="E92" i="73" s="1"/>
  <c r="K91" i="73"/>
  <c r="B91" i="73"/>
  <c r="A91" i="73"/>
  <c r="K90" i="73"/>
  <c r="B90" i="73"/>
  <c r="A90" i="73"/>
  <c r="K89" i="73"/>
  <c r="B89" i="73"/>
  <c r="A89" i="73"/>
  <c r="E89" i="73" s="1"/>
  <c r="K88" i="73"/>
  <c r="J88" i="73"/>
  <c r="B88" i="73"/>
  <c r="A88" i="73"/>
  <c r="F88" i="73" s="1"/>
  <c r="K87" i="73"/>
  <c r="J87" i="73"/>
  <c r="B87" i="73"/>
  <c r="A87" i="73"/>
  <c r="E87" i="73" s="1"/>
  <c r="K86" i="73"/>
  <c r="J86" i="73"/>
  <c r="E86" i="73"/>
  <c r="B86" i="73"/>
  <c r="A86" i="73"/>
  <c r="F86" i="73" s="1"/>
  <c r="K85" i="73"/>
  <c r="J85" i="73"/>
  <c r="F85" i="73"/>
  <c r="E85" i="73"/>
  <c r="B85" i="73"/>
  <c r="A85" i="73"/>
  <c r="K84" i="73"/>
  <c r="J84" i="73"/>
  <c r="E84" i="73"/>
  <c r="B84" i="73"/>
  <c r="A84" i="73"/>
  <c r="F84" i="73" s="1"/>
  <c r="K83" i="73"/>
  <c r="J83" i="73"/>
  <c r="B83" i="73"/>
  <c r="A83" i="73"/>
  <c r="K82" i="73"/>
  <c r="J82" i="73"/>
  <c r="B82" i="73"/>
  <c r="A82" i="73"/>
  <c r="K81" i="73"/>
  <c r="J81" i="73"/>
  <c r="B81" i="73"/>
  <c r="A81" i="73"/>
  <c r="E81" i="73" s="1"/>
  <c r="K80" i="73"/>
  <c r="J80" i="73"/>
  <c r="B80" i="73"/>
  <c r="A80" i="73"/>
  <c r="F80" i="73" s="1"/>
  <c r="K79" i="73"/>
  <c r="J79" i="73"/>
  <c r="B79" i="73"/>
  <c r="A79" i="73"/>
  <c r="E79" i="73" s="1"/>
  <c r="K78" i="73"/>
  <c r="J78" i="73"/>
  <c r="B78" i="73"/>
  <c r="A78" i="73"/>
  <c r="F78" i="73" s="1"/>
  <c r="K77" i="73"/>
  <c r="J77" i="73"/>
  <c r="B77" i="73"/>
  <c r="A77" i="73"/>
  <c r="F77" i="73" s="1"/>
  <c r="K76" i="73"/>
  <c r="J76" i="73"/>
  <c r="B76" i="73"/>
  <c r="A76" i="73"/>
  <c r="F76" i="73" s="1"/>
  <c r="K75" i="73"/>
  <c r="J75" i="73"/>
  <c r="B75" i="73"/>
  <c r="A75" i="73"/>
  <c r="K74" i="73"/>
  <c r="J74" i="73"/>
  <c r="B74" i="73"/>
  <c r="A74" i="73"/>
  <c r="K73" i="73"/>
  <c r="J73" i="73"/>
  <c r="B73" i="73"/>
  <c r="A73" i="73"/>
  <c r="E73" i="73" s="1"/>
  <c r="K72" i="73"/>
  <c r="J72" i="73"/>
  <c r="B72" i="73"/>
  <c r="A72" i="73"/>
  <c r="F72" i="73" s="1"/>
  <c r="K71" i="73"/>
  <c r="J71" i="73"/>
  <c r="B71" i="73"/>
  <c r="A71" i="73"/>
  <c r="E71" i="73" s="1"/>
  <c r="K70" i="73"/>
  <c r="J70" i="73"/>
  <c r="B70" i="73"/>
  <c r="A70" i="73"/>
  <c r="F70" i="73" s="1"/>
  <c r="K69" i="73"/>
  <c r="J69" i="73"/>
  <c r="B69" i="73"/>
  <c r="A69" i="73"/>
  <c r="F69" i="73" s="1"/>
  <c r="K68" i="73"/>
  <c r="J68" i="73"/>
  <c r="B68" i="73"/>
  <c r="A68" i="73"/>
  <c r="F68" i="73" s="1"/>
  <c r="K67" i="73"/>
  <c r="J67" i="73"/>
  <c r="B67" i="73"/>
  <c r="A67" i="73"/>
  <c r="K66" i="73"/>
  <c r="J66" i="73"/>
  <c r="B66" i="73"/>
  <c r="A66" i="73"/>
  <c r="K65" i="73"/>
  <c r="J65" i="73"/>
  <c r="B65" i="73"/>
  <c r="A65" i="73"/>
  <c r="E65" i="73" s="1"/>
  <c r="K64" i="73"/>
  <c r="J64" i="73"/>
  <c r="B64" i="73"/>
  <c r="A64" i="73"/>
  <c r="F64" i="73" s="1"/>
  <c r="K63" i="73"/>
  <c r="J63" i="73"/>
  <c r="B63" i="73"/>
  <c r="A63" i="73"/>
  <c r="E63" i="73" s="1"/>
  <c r="K62" i="73"/>
  <c r="J62" i="73"/>
  <c r="B62" i="73"/>
  <c r="A62" i="73"/>
  <c r="F62" i="73" s="1"/>
  <c r="K61" i="73"/>
  <c r="J61" i="73"/>
  <c r="B61" i="73"/>
  <c r="A61" i="73"/>
  <c r="F61" i="73" s="1"/>
  <c r="K60" i="73"/>
  <c r="J60" i="73"/>
  <c r="B60" i="73"/>
  <c r="A60" i="73"/>
  <c r="F60" i="73" s="1"/>
  <c r="K59" i="73"/>
  <c r="J59" i="73"/>
  <c r="B59" i="73"/>
  <c r="A59" i="73"/>
  <c r="K58" i="73"/>
  <c r="J58" i="73"/>
  <c r="B58" i="73"/>
  <c r="A58" i="73"/>
  <c r="K57" i="73"/>
  <c r="J57" i="73"/>
  <c r="F57" i="73"/>
  <c r="B57" i="73"/>
  <c r="A57" i="73"/>
  <c r="E57" i="73" s="1"/>
  <c r="K56" i="73"/>
  <c r="J56" i="73"/>
  <c r="E56" i="73"/>
  <c r="B56" i="73"/>
  <c r="A56" i="73"/>
  <c r="F56" i="73" s="1"/>
  <c r="K55" i="73"/>
  <c r="J55" i="73"/>
  <c r="F55" i="73"/>
  <c r="B55" i="73"/>
  <c r="A55" i="73"/>
  <c r="E55" i="73" s="1"/>
  <c r="K54" i="73"/>
  <c r="J54" i="73"/>
  <c r="F54" i="73"/>
  <c r="B54" i="73"/>
  <c r="A54" i="73"/>
  <c r="E54" i="73" s="1"/>
  <c r="K53" i="73"/>
  <c r="J53" i="73"/>
  <c r="B53" i="73"/>
  <c r="A53" i="73"/>
  <c r="F53" i="73" s="1"/>
  <c r="K52" i="73"/>
  <c r="J52" i="73"/>
  <c r="B52" i="73"/>
  <c r="A52" i="73"/>
  <c r="F52" i="73" s="1"/>
  <c r="K51" i="73"/>
  <c r="J51" i="73"/>
  <c r="B51" i="73"/>
  <c r="A51" i="73"/>
  <c r="K50" i="73"/>
  <c r="J50" i="73"/>
  <c r="B50" i="73"/>
  <c r="A50" i="73"/>
  <c r="K49" i="73"/>
  <c r="J49" i="73"/>
  <c r="B49" i="73"/>
  <c r="A49" i="73"/>
  <c r="K48" i="73"/>
  <c r="J48" i="73"/>
  <c r="F48" i="73"/>
  <c r="E48" i="73"/>
  <c r="B48" i="73"/>
  <c r="A48" i="73"/>
  <c r="K47" i="73"/>
  <c r="J47" i="73"/>
  <c r="E47" i="73"/>
  <c r="B47" i="73"/>
  <c r="A47" i="73"/>
  <c r="F47" i="73" s="1"/>
  <c r="K46" i="73"/>
  <c r="J46" i="73"/>
  <c r="F46" i="73"/>
  <c r="B46" i="73"/>
  <c r="A46" i="73"/>
  <c r="E46" i="73" s="1"/>
  <c r="K45" i="73"/>
  <c r="J45" i="73"/>
  <c r="F45" i="73"/>
  <c r="B45" i="73"/>
  <c r="A45" i="73"/>
  <c r="E45" i="73" s="1"/>
  <c r="K44" i="73"/>
  <c r="J44" i="73"/>
  <c r="B44" i="73"/>
  <c r="A44" i="73"/>
  <c r="F44" i="73" s="1"/>
  <c r="K43" i="73"/>
  <c r="J43" i="73"/>
  <c r="B43" i="73"/>
  <c r="A43" i="73"/>
  <c r="E43" i="73" s="1"/>
  <c r="K42" i="73"/>
  <c r="J42" i="73"/>
  <c r="B42" i="73"/>
  <c r="A42" i="73"/>
  <c r="K41" i="73"/>
  <c r="J41" i="73"/>
  <c r="B41" i="73"/>
  <c r="A41" i="73"/>
  <c r="K40" i="73"/>
  <c r="J40" i="73"/>
  <c r="F40" i="73"/>
  <c r="E40" i="73"/>
  <c r="B40" i="73"/>
  <c r="A40" i="73"/>
  <c r="K39" i="73"/>
  <c r="J39" i="73"/>
  <c r="E39" i="73"/>
  <c r="B39" i="73"/>
  <c r="A39" i="73"/>
  <c r="F39" i="73" s="1"/>
  <c r="K38" i="73"/>
  <c r="J38" i="73"/>
  <c r="F38" i="73"/>
  <c r="B38" i="73"/>
  <c r="A38" i="73"/>
  <c r="E38" i="73" s="1"/>
  <c r="K37" i="73"/>
  <c r="J37" i="73"/>
  <c r="F37" i="73"/>
  <c r="B37" i="73"/>
  <c r="A37" i="73"/>
  <c r="E37" i="73" s="1"/>
  <c r="K36" i="73"/>
  <c r="J36" i="73"/>
  <c r="B36" i="73"/>
  <c r="A36" i="73"/>
  <c r="F36" i="73" s="1"/>
  <c r="K35" i="73"/>
  <c r="J35" i="73"/>
  <c r="B35" i="73"/>
  <c r="A35" i="73"/>
  <c r="E35" i="73" s="1"/>
  <c r="K34" i="73"/>
  <c r="J34" i="73"/>
  <c r="B34" i="73"/>
  <c r="A34" i="73"/>
  <c r="K33" i="73"/>
  <c r="J33" i="73"/>
  <c r="B33" i="73"/>
  <c r="A33" i="73"/>
  <c r="K32" i="73"/>
  <c r="J32" i="73"/>
  <c r="B32" i="73"/>
  <c r="A32" i="73"/>
  <c r="F32" i="73" s="1"/>
  <c r="K31" i="73"/>
  <c r="J31" i="73"/>
  <c r="B31" i="73"/>
  <c r="A31" i="73"/>
  <c r="F31" i="73" s="1"/>
  <c r="K30" i="73"/>
  <c r="J30" i="73"/>
  <c r="B30" i="73"/>
  <c r="A30" i="73"/>
  <c r="E30" i="73" s="1"/>
  <c r="K29" i="73"/>
  <c r="J29" i="73"/>
  <c r="B29" i="73"/>
  <c r="A29" i="73"/>
  <c r="E29" i="73" s="1"/>
  <c r="K28" i="73"/>
  <c r="J28" i="73"/>
  <c r="B28" i="73"/>
  <c r="A28" i="73"/>
  <c r="F28" i="73" s="1"/>
  <c r="K27" i="73"/>
  <c r="J27" i="73"/>
  <c r="B27" i="73"/>
  <c r="A27" i="73"/>
  <c r="E27" i="73" s="1"/>
  <c r="K26" i="73"/>
  <c r="J26" i="73"/>
  <c r="H26" i="73"/>
  <c r="H38" i="73" s="1"/>
  <c r="H50" i="73" s="1"/>
  <c r="H62" i="73" s="1"/>
  <c r="H74" i="73" s="1"/>
  <c r="H86" i="73" s="1"/>
  <c r="H98" i="73" s="1"/>
  <c r="H110" i="73" s="1"/>
  <c r="H122" i="73" s="1"/>
  <c r="H134" i="73" s="1"/>
  <c r="H146" i="73" s="1"/>
  <c r="B26" i="73"/>
  <c r="A26" i="73"/>
  <c r="K25" i="73"/>
  <c r="J25" i="73"/>
  <c r="B25" i="73"/>
  <c r="A25" i="73"/>
  <c r="K24" i="73"/>
  <c r="J24" i="73"/>
  <c r="B24" i="73"/>
  <c r="A24" i="73"/>
  <c r="F24" i="73" s="1"/>
  <c r="K23" i="73"/>
  <c r="J23" i="73"/>
  <c r="H23" i="73"/>
  <c r="H35" i="73" s="1"/>
  <c r="H47" i="73" s="1"/>
  <c r="H59" i="73" s="1"/>
  <c r="H71" i="73" s="1"/>
  <c r="H83" i="73" s="1"/>
  <c r="H95" i="73" s="1"/>
  <c r="H107" i="73" s="1"/>
  <c r="H119" i="73" s="1"/>
  <c r="H131" i="73" s="1"/>
  <c r="H143" i="73" s="1"/>
  <c r="E23" i="73"/>
  <c r="B23" i="73"/>
  <c r="A23" i="73"/>
  <c r="F23" i="73" s="1"/>
  <c r="K22" i="73"/>
  <c r="J22" i="73"/>
  <c r="F22" i="73"/>
  <c r="B22" i="73"/>
  <c r="A22" i="73"/>
  <c r="E22" i="73" s="1"/>
  <c r="K21" i="73"/>
  <c r="J21" i="73"/>
  <c r="F21" i="73"/>
  <c r="E21" i="73"/>
  <c r="B21" i="73"/>
  <c r="A21" i="73"/>
  <c r="K20" i="73"/>
  <c r="J20" i="73"/>
  <c r="H20" i="73"/>
  <c r="H32" i="73" s="1"/>
  <c r="H44" i="73" s="1"/>
  <c r="H56" i="73" s="1"/>
  <c r="H68" i="73" s="1"/>
  <c r="H80" i="73" s="1"/>
  <c r="H92" i="73" s="1"/>
  <c r="H104" i="73" s="1"/>
  <c r="H116" i="73" s="1"/>
  <c r="H128" i="73" s="1"/>
  <c r="H140" i="73" s="1"/>
  <c r="B20" i="73"/>
  <c r="A20" i="73"/>
  <c r="F20" i="73" s="1"/>
  <c r="K19" i="73"/>
  <c r="J19" i="73"/>
  <c r="B19" i="73"/>
  <c r="A19" i="73"/>
  <c r="E19" i="73" s="1"/>
  <c r="K18" i="73"/>
  <c r="J18" i="73"/>
  <c r="B18" i="73"/>
  <c r="A18" i="73"/>
  <c r="K17" i="73"/>
  <c r="J17" i="73"/>
  <c r="H17" i="73"/>
  <c r="H29" i="73" s="1"/>
  <c r="H41" i="73" s="1"/>
  <c r="H53" i="73" s="1"/>
  <c r="H65" i="73" s="1"/>
  <c r="H77" i="73" s="1"/>
  <c r="H89" i="73" s="1"/>
  <c r="H101" i="73" s="1"/>
  <c r="H113" i="73" s="1"/>
  <c r="H125" i="73" s="1"/>
  <c r="H137" i="73" s="1"/>
  <c r="B17" i="73"/>
  <c r="A17" i="73"/>
  <c r="K16" i="73"/>
  <c r="J16" i="73"/>
  <c r="B16" i="73"/>
  <c r="A16" i="73"/>
  <c r="F16" i="73" s="1"/>
  <c r="K15" i="73"/>
  <c r="J15" i="73"/>
  <c r="B15" i="73"/>
  <c r="A15" i="73"/>
  <c r="F15" i="73" s="1"/>
  <c r="K14" i="73"/>
  <c r="J14" i="73"/>
  <c r="B14" i="73"/>
  <c r="A14" i="73"/>
  <c r="F14" i="73" s="1"/>
  <c r="K13" i="73"/>
  <c r="J13" i="73"/>
  <c r="H13" i="73"/>
  <c r="H25" i="73" s="1"/>
  <c r="H37" i="73" s="1"/>
  <c r="H49" i="73" s="1"/>
  <c r="H61" i="73" s="1"/>
  <c r="H73" i="73" s="1"/>
  <c r="H85" i="73" s="1"/>
  <c r="H97" i="73" s="1"/>
  <c r="H109" i="73" s="1"/>
  <c r="H121" i="73" s="1"/>
  <c r="H133" i="73" s="1"/>
  <c r="H145" i="73" s="1"/>
  <c r="E13" i="73"/>
  <c r="B13" i="73"/>
  <c r="A13" i="73"/>
  <c r="F13" i="73" s="1"/>
  <c r="K12" i="73"/>
  <c r="J12" i="73"/>
  <c r="H12" i="73"/>
  <c r="H24" i="73" s="1"/>
  <c r="H36" i="73" s="1"/>
  <c r="H48" i="73" s="1"/>
  <c r="H60" i="73" s="1"/>
  <c r="H72" i="73" s="1"/>
  <c r="H84" i="73" s="1"/>
  <c r="H96" i="73" s="1"/>
  <c r="H108" i="73" s="1"/>
  <c r="H120" i="73" s="1"/>
  <c r="F12" i="73"/>
  <c r="B12" i="73"/>
  <c r="A12" i="73"/>
  <c r="E12" i="73" s="1"/>
  <c r="K11" i="73"/>
  <c r="J11" i="73"/>
  <c r="B11" i="73"/>
  <c r="A11" i="73"/>
  <c r="K10" i="73"/>
  <c r="J10" i="73"/>
  <c r="H10" i="73"/>
  <c r="H22" i="73" s="1"/>
  <c r="H34" i="73" s="1"/>
  <c r="H46" i="73" s="1"/>
  <c r="H58" i="73" s="1"/>
  <c r="H70" i="73" s="1"/>
  <c r="H82" i="73" s="1"/>
  <c r="H94" i="73" s="1"/>
  <c r="H106" i="73" s="1"/>
  <c r="F10" i="73"/>
  <c r="E10" i="73"/>
  <c r="B10" i="73"/>
  <c r="A10" i="73"/>
  <c r="K9" i="73"/>
  <c r="J9" i="73"/>
  <c r="H9" i="73"/>
  <c r="H21" i="73" s="1"/>
  <c r="H33" i="73" s="1"/>
  <c r="H45" i="73" s="1"/>
  <c r="H57" i="73" s="1"/>
  <c r="H69" i="73" s="1"/>
  <c r="H81" i="73" s="1"/>
  <c r="H93" i="73" s="1"/>
  <c r="H105" i="73" s="1"/>
  <c r="H117" i="73" s="1"/>
  <c r="H129" i="73" s="1"/>
  <c r="H141" i="73" s="1"/>
  <c r="B9" i="73"/>
  <c r="A9" i="73"/>
  <c r="F9" i="73" s="1"/>
  <c r="K8" i="73"/>
  <c r="J8" i="73"/>
  <c r="B8" i="73"/>
  <c r="A8" i="73"/>
  <c r="F8" i="73" s="1"/>
  <c r="K7" i="73"/>
  <c r="J7" i="73"/>
  <c r="H7" i="73"/>
  <c r="H19" i="73" s="1"/>
  <c r="H31" i="73" s="1"/>
  <c r="H43" i="73" s="1"/>
  <c r="H55" i="73" s="1"/>
  <c r="H67" i="73" s="1"/>
  <c r="H79" i="73" s="1"/>
  <c r="H91" i="73" s="1"/>
  <c r="H103" i="73" s="1"/>
  <c r="H115" i="73" s="1"/>
  <c r="H127" i="73" s="1"/>
  <c r="H139" i="73" s="1"/>
  <c r="B7" i="73"/>
  <c r="A7" i="73"/>
  <c r="F7" i="73" s="1"/>
  <c r="K6" i="73"/>
  <c r="J6" i="73"/>
  <c r="H6" i="73"/>
  <c r="H18" i="73" s="1"/>
  <c r="H30" i="73" s="1"/>
  <c r="H42" i="73" s="1"/>
  <c r="H54" i="73" s="1"/>
  <c r="H66" i="73" s="1"/>
  <c r="H78" i="73" s="1"/>
  <c r="H90" i="73" s="1"/>
  <c r="H102" i="73" s="1"/>
  <c r="H114" i="73" s="1"/>
  <c r="H126" i="73" s="1"/>
  <c r="H138" i="73" s="1"/>
  <c r="B6" i="73"/>
  <c r="A6" i="73"/>
  <c r="E6" i="73" s="1"/>
  <c r="K5" i="73"/>
  <c r="J5" i="73"/>
  <c r="B5" i="73"/>
  <c r="A5" i="73"/>
  <c r="K4" i="73"/>
  <c r="J4" i="73"/>
  <c r="H4" i="73"/>
  <c r="H16" i="73" s="1"/>
  <c r="H28" i="73" s="1"/>
  <c r="H40" i="73" s="1"/>
  <c r="H52" i="73" s="1"/>
  <c r="B4" i="73"/>
  <c r="A4" i="73"/>
  <c r="F4" i="73" s="1"/>
  <c r="K3" i="73"/>
  <c r="J3" i="73"/>
  <c r="H3" i="73"/>
  <c r="H15" i="73" s="1"/>
  <c r="H27" i="73" s="1"/>
  <c r="H39" i="73" s="1"/>
  <c r="H51" i="73" s="1"/>
  <c r="H63" i="73" s="1"/>
  <c r="H75" i="73" s="1"/>
  <c r="H87" i="73" s="1"/>
  <c r="H99" i="73" s="1"/>
  <c r="H111" i="73" s="1"/>
  <c r="H123" i="73" s="1"/>
  <c r="H135" i="73" s="1"/>
  <c r="E3" i="73"/>
  <c r="B3" i="73"/>
  <c r="A3" i="73"/>
  <c r="F3" i="73" s="1"/>
  <c r="D132" i="60"/>
  <c r="D133" i="60" s="1"/>
  <c r="D134" i="60" s="1"/>
  <c r="D135" i="60" s="1"/>
  <c r="D136" i="60" s="1"/>
  <c r="D137" i="60" s="1"/>
  <c r="D138" i="60" s="1"/>
  <c r="D139" i="60" s="1"/>
  <c r="D140" i="60" s="1"/>
  <c r="E132" i="60"/>
  <c r="E133" i="60" s="1"/>
  <c r="E134" i="60" s="1"/>
  <c r="E135" i="60" s="1"/>
  <c r="E136" i="60" s="1"/>
  <c r="E137" i="60" s="1"/>
  <c r="E138" i="60" s="1"/>
  <c r="E139" i="60" s="1"/>
  <c r="E140" i="60" s="1"/>
  <c r="F132" i="60"/>
  <c r="F133" i="60" s="1"/>
  <c r="F134" i="60" s="1"/>
  <c r="F135" i="60" s="1"/>
  <c r="F136" i="60" s="1"/>
  <c r="F137" i="60" s="1"/>
  <c r="F138" i="60" s="1"/>
  <c r="F139" i="60" s="1"/>
  <c r="F140" i="60" s="1"/>
  <c r="G132" i="60"/>
  <c r="G133" i="60" s="1"/>
  <c r="G134" i="60" s="1"/>
  <c r="G135" i="60" s="1"/>
  <c r="G136" i="60" s="1"/>
  <c r="G137" i="60" s="1"/>
  <c r="G138" i="60" s="1"/>
  <c r="G139" i="60" s="1"/>
  <c r="G140" i="60" s="1"/>
  <c r="H132" i="60"/>
  <c r="H133" i="60" s="1"/>
  <c r="H134" i="60" s="1"/>
  <c r="H135" i="60" s="1"/>
  <c r="H136" i="60" s="1"/>
  <c r="H137" i="60" s="1"/>
  <c r="H138" i="60" s="1"/>
  <c r="H139" i="60" s="1"/>
  <c r="H140" i="60" s="1"/>
  <c r="I132" i="60"/>
  <c r="I133" i="60" s="1"/>
  <c r="I134" i="60" s="1"/>
  <c r="I135" i="60" s="1"/>
  <c r="I136" i="60" s="1"/>
  <c r="I137" i="60" s="1"/>
  <c r="I138" i="60" s="1"/>
  <c r="I139" i="60" s="1"/>
  <c r="I140" i="60" s="1"/>
  <c r="J132" i="60"/>
  <c r="J133" i="60" s="1"/>
  <c r="J134" i="60" s="1"/>
  <c r="J135" i="60" s="1"/>
  <c r="J136" i="60" s="1"/>
  <c r="J137" i="60" s="1"/>
  <c r="J138" i="60" s="1"/>
  <c r="J139" i="60" s="1"/>
  <c r="J140" i="60" s="1"/>
  <c r="K132" i="60"/>
  <c r="K133" i="60" s="1"/>
  <c r="K134" i="60" s="1"/>
  <c r="K135" i="60" s="1"/>
  <c r="K136" i="60" s="1"/>
  <c r="K137" i="60" s="1"/>
  <c r="K138" i="60" s="1"/>
  <c r="K139" i="60" s="1"/>
  <c r="K140" i="60" s="1"/>
  <c r="L132" i="60"/>
  <c r="L133" i="60" s="1"/>
  <c r="L134" i="60" s="1"/>
  <c r="L135" i="60" s="1"/>
  <c r="L136" i="60" s="1"/>
  <c r="L137" i="60" s="1"/>
  <c r="L138" i="60" s="1"/>
  <c r="L139" i="60" s="1"/>
  <c r="L140" i="60" s="1"/>
  <c r="M132" i="60"/>
  <c r="M133" i="60" s="1"/>
  <c r="M134" i="60" s="1"/>
  <c r="M135" i="60" s="1"/>
  <c r="M136" i="60" s="1"/>
  <c r="M137" i="60" s="1"/>
  <c r="M138" i="60" s="1"/>
  <c r="M139" i="60" s="1"/>
  <c r="M140" i="60" s="1"/>
  <c r="N132" i="60"/>
  <c r="N133" i="60" s="1"/>
  <c r="N134" i="60" s="1"/>
  <c r="N135" i="60" s="1"/>
  <c r="N136" i="60" s="1"/>
  <c r="N137" i="60" s="1"/>
  <c r="N138" i="60" s="1"/>
  <c r="N139" i="60" s="1"/>
  <c r="N140" i="60" s="1"/>
  <c r="C132" i="60"/>
  <c r="C133" i="60" s="1"/>
  <c r="C134" i="60" s="1"/>
  <c r="C135" i="60" s="1"/>
  <c r="C136" i="60" s="1"/>
  <c r="C137" i="60" s="1"/>
  <c r="C138" i="60" s="1"/>
  <c r="C139" i="60" s="1"/>
  <c r="C140" i="60" s="1"/>
  <c r="K142" i="60" l="1"/>
  <c r="K141" i="60"/>
  <c r="L141" i="60"/>
  <c r="L142" i="60"/>
  <c r="J142" i="60"/>
  <c r="J141" i="60"/>
  <c r="I142" i="60"/>
  <c r="I141" i="60"/>
  <c r="H141" i="60"/>
  <c r="H142" i="60"/>
  <c r="C142" i="60"/>
  <c r="C141" i="60"/>
  <c r="G141" i="60"/>
  <c r="G142" i="60"/>
  <c r="N141" i="60"/>
  <c r="N142" i="60"/>
  <c r="F142" i="60"/>
  <c r="F141" i="60"/>
  <c r="D141" i="60"/>
  <c r="D142" i="60"/>
  <c r="M141" i="60"/>
  <c r="M142" i="60"/>
  <c r="E141" i="60"/>
  <c r="E142" i="60"/>
  <c r="H82" i="74"/>
  <c r="H107" i="74"/>
  <c r="H99" i="74"/>
  <c r="H115" i="74"/>
  <c r="F6" i="73"/>
  <c r="E68" i="73"/>
  <c r="E69" i="73"/>
  <c r="E76" i="73"/>
  <c r="E77" i="73"/>
  <c r="E78" i="73"/>
  <c r="E104" i="73"/>
  <c r="E105" i="73"/>
  <c r="E114" i="73"/>
  <c r="E24" i="73"/>
  <c r="E14" i="73"/>
  <c r="E28" i="73"/>
  <c r="F29" i="73"/>
  <c r="E70" i="73"/>
  <c r="F79" i="73"/>
  <c r="E80" i="73"/>
  <c r="F87" i="73"/>
  <c r="E88" i="73"/>
  <c r="F89" i="73"/>
  <c r="E106" i="73"/>
  <c r="F115" i="73"/>
  <c r="E4" i="73"/>
  <c r="E16" i="73"/>
  <c r="E8" i="73"/>
  <c r="F30" i="73"/>
  <c r="E31" i="73"/>
  <c r="E32" i="73"/>
  <c r="F35" i="73"/>
  <c r="E36" i="73"/>
  <c r="E52" i="73"/>
  <c r="E53" i="73"/>
  <c r="E60" i="73"/>
  <c r="E61" i="73"/>
  <c r="E62" i="73"/>
  <c r="F71" i="73"/>
  <c r="E72" i="73"/>
  <c r="F73" i="73"/>
  <c r="E97" i="73"/>
  <c r="F98" i="73"/>
  <c r="E99" i="73"/>
  <c r="F107" i="73"/>
  <c r="F27" i="73"/>
  <c r="E7" i="73"/>
  <c r="E15" i="73"/>
  <c r="E9" i="73"/>
  <c r="F19" i="73"/>
  <c r="E20" i="73"/>
  <c r="F43" i="73"/>
  <c r="E44" i="73"/>
  <c r="F63" i="73"/>
  <c r="E64" i="73"/>
  <c r="F100" i="73"/>
  <c r="E101" i="73"/>
  <c r="H132" i="73"/>
  <c r="H144" i="73" s="1"/>
  <c r="H64" i="73"/>
  <c r="H76" i="73" s="1"/>
  <c r="H88" i="73" s="1"/>
  <c r="H100" i="73" s="1"/>
  <c r="H112" i="73" s="1"/>
  <c r="H124" i="73" s="1"/>
  <c r="H136" i="73" s="1"/>
  <c r="F42" i="73"/>
  <c r="E42" i="73"/>
  <c r="F25" i="73"/>
  <c r="E25" i="73"/>
  <c r="F26" i="73"/>
  <c r="E26" i="73"/>
  <c r="F49" i="73"/>
  <c r="E49" i="73"/>
  <c r="E50" i="73"/>
  <c r="F50" i="73"/>
  <c r="F91" i="73"/>
  <c r="E91" i="73"/>
  <c r="F11" i="73"/>
  <c r="E11" i="73"/>
  <c r="F41" i="73"/>
  <c r="E41" i="73"/>
  <c r="F17" i="73"/>
  <c r="E17" i="73"/>
  <c r="H118" i="73"/>
  <c r="H130" i="73" s="1"/>
  <c r="H142" i="73" s="1"/>
  <c r="F18" i="73"/>
  <c r="E18" i="73"/>
  <c r="F33" i="73"/>
  <c r="E33" i="73"/>
  <c r="F34" i="73"/>
  <c r="E34" i="73"/>
  <c r="F5" i="73"/>
  <c r="E5" i="73"/>
  <c r="F58" i="73"/>
  <c r="E58" i="73"/>
  <c r="F117" i="73"/>
  <c r="E117" i="73"/>
  <c r="F59" i="73"/>
  <c r="E59" i="73"/>
  <c r="F75" i="73"/>
  <c r="E75" i="73"/>
  <c r="F95" i="73"/>
  <c r="E95" i="73"/>
  <c r="F51" i="73"/>
  <c r="E51" i="73"/>
  <c r="F96" i="73"/>
  <c r="E96" i="73"/>
  <c r="F118" i="73"/>
  <c r="E118" i="73"/>
  <c r="F119" i="73"/>
  <c r="E119" i="73"/>
  <c r="F74" i="73"/>
  <c r="E74" i="73"/>
  <c r="F103" i="73"/>
  <c r="E103" i="73"/>
  <c r="F65" i="73"/>
  <c r="F81" i="73"/>
  <c r="F109" i="73"/>
  <c r="E109" i="73"/>
  <c r="F102" i="73"/>
  <c r="E102" i="73"/>
  <c r="F66" i="73"/>
  <c r="E66" i="73"/>
  <c r="F82" i="73"/>
  <c r="E82" i="73"/>
  <c r="F67" i="73"/>
  <c r="E67" i="73"/>
  <c r="F83" i="73"/>
  <c r="E83" i="73"/>
  <c r="F110" i="73"/>
  <c r="E110" i="73"/>
  <c r="F111" i="73"/>
  <c r="E111" i="73"/>
  <c r="F90" i="73"/>
  <c r="E90" i="73"/>
  <c r="E108" i="73"/>
  <c r="E116" i="73"/>
  <c r="H35" i="9"/>
  <c r="C651" i="60" l="1"/>
  <c r="H119" i="74"/>
  <c r="H127" i="74"/>
  <c r="H94" i="74"/>
  <c r="H111" i="74"/>
  <c r="C96" i="60" a="1"/>
  <c r="C96" i="60" s="1"/>
  <c r="C112" i="60" l="1" a="1"/>
  <c r="C112" i="60" s="1"/>
  <c r="C111" i="60" a="1"/>
  <c r="C111" i="60" s="1"/>
  <c r="H139" i="74"/>
  <c r="H106" i="74"/>
  <c r="H123" i="74"/>
  <c r="H131" i="74"/>
  <c r="C97" i="60" l="1" a="1"/>
  <c r="C97" i="60" s="1"/>
  <c r="H143" i="74"/>
  <c r="H135" i="74"/>
  <c r="H118" i="74"/>
  <c r="A10" i="18"/>
  <c r="A24" i="18" s="1"/>
  <c r="A11" i="18"/>
  <c r="A25" i="18" s="1"/>
  <c r="A12" i="18"/>
  <c r="A13" i="18"/>
  <c r="A33" i="9"/>
  <c r="A37" i="9" s="1"/>
  <c r="A41" i="9" s="1"/>
  <c r="A32" i="9"/>
  <c r="A36" i="9" s="1"/>
  <c r="A40" i="9" s="1"/>
  <c r="A3" i="18"/>
  <c r="A4" i="18"/>
  <c r="A5" i="18"/>
  <c r="A6" i="18"/>
  <c r="A7" i="18"/>
  <c r="A8" i="18"/>
  <c r="A9" i="18"/>
  <c r="A2" i="18"/>
  <c r="H130" i="74" l="1"/>
  <c r="A16" i="18"/>
  <c r="A23" i="18"/>
  <c r="A22" i="18"/>
  <c r="A21" i="18"/>
  <c r="A20" i="18"/>
  <c r="A19" i="18"/>
  <c r="A18" i="18"/>
  <c r="A17" i="18"/>
  <c r="H142" i="74" l="1"/>
  <c r="P195" i="60" l="1"/>
  <c r="P194" i="60" l="1"/>
  <c r="P193" i="60" l="1"/>
  <c r="P192" i="60" l="1"/>
  <c r="P191" i="60" l="1"/>
  <c r="B59" i="60"/>
  <c r="O16" i="60"/>
  <c r="L3" i="9"/>
  <c r="B33" i="11" l="1"/>
  <c r="F11" i="17"/>
  <c r="G262" i="60" s="1"/>
  <c r="F20" i="17"/>
  <c r="G20" i="17"/>
  <c r="G18" i="17"/>
  <c r="G16" i="17"/>
  <c r="G14" i="17"/>
  <c r="G12" i="17"/>
  <c r="C37" i="11" s="1"/>
  <c r="F19" i="17"/>
  <c r="F18" i="17"/>
  <c r="F17" i="17"/>
  <c r="F16" i="17"/>
  <c r="F15" i="17"/>
  <c r="F14" i="17"/>
  <c r="F13" i="17"/>
  <c r="F12" i="17"/>
  <c r="C32" i="11" s="1"/>
  <c r="G11" i="17"/>
  <c r="B37" i="11" s="1"/>
  <c r="G19" i="17"/>
  <c r="G17" i="17"/>
  <c r="G15" i="17"/>
  <c r="G13" i="17"/>
  <c r="D2" i="18"/>
  <c r="D16" i="18" s="1"/>
  <c r="J3" i="9"/>
  <c r="J4" i="9"/>
  <c r="K3" i="9"/>
  <c r="K4" i="9"/>
  <c r="M3" i="9"/>
  <c r="B2" i="18"/>
  <c r="B3" i="18"/>
  <c r="B6" i="18"/>
  <c r="B7" i="18"/>
  <c r="B9" i="18"/>
  <c r="B11" i="18"/>
  <c r="C2" i="18"/>
  <c r="C3" i="18"/>
  <c r="C4" i="18"/>
  <c r="C5" i="18"/>
  <c r="C6" i="18"/>
  <c r="C7" i="18"/>
  <c r="C8" i="18"/>
  <c r="C9" i="18"/>
  <c r="C10" i="18"/>
  <c r="C11" i="18"/>
  <c r="B4" i="18"/>
  <c r="B5" i="18"/>
  <c r="B8" i="18"/>
  <c r="B10" i="18"/>
  <c r="D11" i="18"/>
  <c r="D10" i="18"/>
  <c r="D9" i="18"/>
  <c r="D8" i="18"/>
  <c r="D7" i="18"/>
  <c r="D6" i="18"/>
  <c r="D5" i="18"/>
  <c r="D4" i="18"/>
  <c r="D3" i="18"/>
  <c r="H3" i="9"/>
  <c r="H4" i="9"/>
  <c r="M4" i="9"/>
  <c r="I3" i="9"/>
  <c r="I4" i="9"/>
  <c r="B32" i="11"/>
  <c r="L4" i="9"/>
  <c r="E38" i="60"/>
  <c r="E319" i="60" s="1"/>
  <c r="G38" i="60"/>
  <c r="E336" i="60" s="1"/>
  <c r="H38" i="60"/>
  <c r="G336" i="60" s="1"/>
  <c r="F38" i="60"/>
  <c r="G319" i="60" s="1"/>
  <c r="J38" i="60"/>
  <c r="G353" i="60" s="1"/>
  <c r="D38" i="60"/>
  <c r="E302" i="60" s="1"/>
  <c r="K38" i="60"/>
  <c r="E370" i="60" s="1"/>
  <c r="C38" i="60"/>
  <c r="E285" i="60" s="1"/>
  <c r="I38" i="60"/>
  <c r="E353" i="60" s="1"/>
  <c r="P190" i="60"/>
  <c r="B58" i="60"/>
  <c r="O15" i="60"/>
  <c r="F58" i="17" l="1"/>
  <c r="F35" i="17"/>
  <c r="G58" i="17"/>
  <c r="G35" i="17"/>
  <c r="C19" i="11"/>
  <c r="B23" i="11"/>
  <c r="C38" i="11"/>
  <c r="H263" i="60"/>
  <c r="B19" i="11"/>
  <c r="H262" i="60"/>
  <c r="C28" i="11"/>
  <c r="B28" i="11"/>
  <c r="B15" i="11"/>
  <c r="C33" i="11"/>
  <c r="G263" i="60"/>
  <c r="C23" i="11"/>
  <c r="B38" i="11"/>
  <c r="B16" i="18"/>
  <c r="B17" i="18"/>
  <c r="C16" i="18"/>
  <c r="C17" i="18"/>
  <c r="K29" i="11"/>
  <c r="E10" i="18"/>
  <c r="J47" i="11" s="1"/>
  <c r="J24" i="11"/>
  <c r="K34" i="11"/>
  <c r="G3" i="9"/>
  <c r="J29" i="11"/>
  <c r="K24" i="11"/>
  <c r="E11" i="18"/>
  <c r="K47" i="11" s="1"/>
  <c r="D17" i="18"/>
  <c r="J34" i="11"/>
  <c r="C15" i="11"/>
  <c r="G4" i="9"/>
  <c r="M38" i="60"/>
  <c r="L38" i="60"/>
  <c r="P189" i="60"/>
  <c r="B57" i="60"/>
  <c r="O14" i="60"/>
  <c r="B42" i="11" l="1"/>
  <c r="C42" i="11"/>
  <c r="C10" i="11"/>
  <c r="C11" i="11" s="1"/>
  <c r="C46" i="11"/>
  <c r="K43" i="11"/>
  <c r="B10" i="11"/>
  <c r="B46" i="11"/>
  <c r="J43" i="11"/>
  <c r="P188" i="60"/>
  <c r="B56" i="60"/>
  <c r="O13" i="60"/>
  <c r="B11" i="11" l="1"/>
  <c r="P187" i="60"/>
  <c r="B55" i="60"/>
  <c r="O12" i="60"/>
  <c r="B54" i="60" l="1"/>
  <c r="O11" i="60"/>
  <c r="B37" i="60"/>
  <c r="B53" i="60" l="1"/>
  <c r="O10" i="60"/>
  <c r="C37" i="60"/>
  <c r="E284" i="60" s="1"/>
  <c r="K37" i="60"/>
  <c r="E369" i="60" s="1"/>
  <c r="D37" i="60"/>
  <c r="E301" i="60" s="1"/>
  <c r="F37" i="60"/>
  <c r="G318" i="60" s="1"/>
  <c r="E37" i="60"/>
  <c r="E318" i="60" s="1"/>
  <c r="G37" i="60"/>
  <c r="E335" i="60" s="1"/>
  <c r="H37" i="60"/>
  <c r="G335" i="60" s="1"/>
  <c r="I37" i="60"/>
  <c r="E352" i="60" s="1"/>
  <c r="J37" i="60"/>
  <c r="G352" i="60" s="1"/>
  <c r="B36" i="60"/>
  <c r="F336" i="60" l="1"/>
  <c r="F302" i="60"/>
  <c r="F370" i="60"/>
  <c r="F319" i="60"/>
  <c r="F285" i="60"/>
  <c r="H319" i="60"/>
  <c r="F353" i="60"/>
  <c r="H353" i="60"/>
  <c r="H336" i="60"/>
  <c r="B52" i="60"/>
  <c r="L37" i="60"/>
  <c r="O9" i="60"/>
  <c r="M37" i="60"/>
  <c r="D36" i="60"/>
  <c r="E300" i="60" s="1"/>
  <c r="E36" i="60"/>
  <c r="E317" i="60" s="1"/>
  <c r="F318" i="60" s="1"/>
  <c r="J36" i="60"/>
  <c r="G351" i="60" s="1"/>
  <c r="H352" i="60" s="1"/>
  <c r="F36" i="60"/>
  <c r="G317" i="60" s="1"/>
  <c r="H318" i="60" s="1"/>
  <c r="G36" i="60"/>
  <c r="E334" i="60" s="1"/>
  <c r="H36" i="60"/>
  <c r="G334" i="60" s="1"/>
  <c r="I36" i="60"/>
  <c r="E351" i="60" s="1"/>
  <c r="C36" i="60"/>
  <c r="E283" i="60" s="1"/>
  <c r="K36" i="60"/>
  <c r="E368" i="60" s="1"/>
  <c r="B35" i="60"/>
  <c r="B4" i="61"/>
  <c r="B5" i="61"/>
  <c r="B6" i="61"/>
  <c r="B7" i="61"/>
  <c r="B8" i="61"/>
  <c r="B9" i="61"/>
  <c r="B10" i="61"/>
  <c r="B11" i="61"/>
  <c r="B12" i="61"/>
  <c r="B13" i="61"/>
  <c r="B14" i="61"/>
  <c r="B15" i="61"/>
  <c r="B16" i="61"/>
  <c r="B17" i="61"/>
  <c r="B18" i="61"/>
  <c r="B19" i="61"/>
  <c r="B20" i="61"/>
  <c r="B21" i="61"/>
  <c r="B22" i="61"/>
  <c r="B23" i="61"/>
  <c r="B24" i="61"/>
  <c r="B25" i="61"/>
  <c r="B26" i="61"/>
  <c r="B27" i="61"/>
  <c r="B28" i="61"/>
  <c r="B29" i="61"/>
  <c r="B30" i="61"/>
  <c r="B31" i="61"/>
  <c r="B32" i="61"/>
  <c r="B33" i="61"/>
  <c r="B34" i="61"/>
  <c r="B35" i="61"/>
  <c r="B36" i="61"/>
  <c r="B37" i="61"/>
  <c r="B38" i="61"/>
  <c r="B39" i="61"/>
  <c r="B40" i="61"/>
  <c r="B41" i="61"/>
  <c r="B42" i="61"/>
  <c r="B43" i="61"/>
  <c r="B44" i="61"/>
  <c r="B45" i="61"/>
  <c r="B46" i="61"/>
  <c r="B47" i="61"/>
  <c r="B48" i="61"/>
  <c r="B49" i="61"/>
  <c r="B50" i="61"/>
  <c r="B51" i="61"/>
  <c r="B52" i="61"/>
  <c r="B53" i="61"/>
  <c r="B54" i="61"/>
  <c r="B55" i="61"/>
  <c r="B56" i="61"/>
  <c r="B57" i="61"/>
  <c r="B58" i="61"/>
  <c r="B59" i="61"/>
  <c r="B60" i="61"/>
  <c r="B61" i="61"/>
  <c r="B62" i="61"/>
  <c r="B63" i="61"/>
  <c r="B64" i="61"/>
  <c r="B65" i="61"/>
  <c r="B66" i="61"/>
  <c r="B67" i="61"/>
  <c r="B68" i="61"/>
  <c r="B69" i="61"/>
  <c r="B70" i="61"/>
  <c r="B71" i="61"/>
  <c r="B72" i="61"/>
  <c r="B73" i="61"/>
  <c r="B74" i="61"/>
  <c r="B75" i="61"/>
  <c r="B76" i="61"/>
  <c r="B77" i="61"/>
  <c r="B78" i="61"/>
  <c r="B79" i="61"/>
  <c r="B80" i="61"/>
  <c r="B81" i="61"/>
  <c r="B82" i="61"/>
  <c r="B83" i="61"/>
  <c r="B84" i="61"/>
  <c r="B85" i="61"/>
  <c r="B86" i="61"/>
  <c r="B87" i="61"/>
  <c r="B88" i="61"/>
  <c r="B89" i="61"/>
  <c r="B90" i="61"/>
  <c r="B91" i="61"/>
  <c r="B92" i="61"/>
  <c r="B93" i="61"/>
  <c r="B94" i="61"/>
  <c r="B95" i="61"/>
  <c r="B96" i="61"/>
  <c r="B97" i="61"/>
  <c r="B98" i="61"/>
  <c r="B99" i="61"/>
  <c r="B100" i="61"/>
  <c r="B101" i="61"/>
  <c r="B102" i="61"/>
  <c r="B103" i="61"/>
  <c r="B104" i="61"/>
  <c r="B105" i="61"/>
  <c r="B106" i="61"/>
  <c r="B107" i="61"/>
  <c r="B108" i="61"/>
  <c r="B109" i="61"/>
  <c r="B110" i="61"/>
  <c r="B111" i="61"/>
  <c r="B112" i="61"/>
  <c r="B113" i="61"/>
  <c r="B114" i="61"/>
  <c r="B115" i="61"/>
  <c r="B116" i="61"/>
  <c r="B117" i="61"/>
  <c r="B118" i="61"/>
  <c r="B119" i="61"/>
  <c r="B120" i="61"/>
  <c r="B121" i="61"/>
  <c r="B122" i="61"/>
  <c r="B123" i="61"/>
  <c r="B124" i="61"/>
  <c r="B125" i="61"/>
  <c r="B126" i="61"/>
  <c r="B127" i="61"/>
  <c r="B128" i="61"/>
  <c r="B129" i="61"/>
  <c r="B130" i="61"/>
  <c r="B131" i="61"/>
  <c r="B132" i="61"/>
  <c r="B133" i="61"/>
  <c r="B134" i="61"/>
  <c r="B135" i="61"/>
  <c r="B136" i="61"/>
  <c r="B137" i="61"/>
  <c r="B138" i="61"/>
  <c r="B139" i="61"/>
  <c r="B140" i="61"/>
  <c r="B141" i="61"/>
  <c r="B142" i="61"/>
  <c r="B143" i="61"/>
  <c r="B144" i="61"/>
  <c r="B145" i="61"/>
  <c r="B146" i="61"/>
  <c r="B3" i="61"/>
  <c r="F352" i="60" l="1"/>
  <c r="F369" i="60"/>
  <c r="F301" i="60"/>
  <c r="H335" i="60"/>
  <c r="F284" i="60"/>
  <c r="F335" i="60"/>
  <c r="D19" i="17"/>
  <c r="E11" i="17"/>
  <c r="F262" i="60" s="1"/>
  <c r="E19" i="17"/>
  <c r="E17" i="17"/>
  <c r="E15" i="17"/>
  <c r="E13" i="17"/>
  <c r="M2" i="17"/>
  <c r="D15" i="17"/>
  <c r="B11" i="17"/>
  <c r="C262" i="60" s="1"/>
  <c r="C11" i="17"/>
  <c r="D262" i="60" s="1"/>
  <c r="D11" i="17"/>
  <c r="D20" i="17"/>
  <c r="D18" i="17"/>
  <c r="D16" i="17"/>
  <c r="D14" i="17"/>
  <c r="D12" i="17"/>
  <c r="E263" i="60" s="1"/>
  <c r="D17" i="17"/>
  <c r="E20" i="17"/>
  <c r="E18" i="17"/>
  <c r="E16" i="17"/>
  <c r="E14" i="17"/>
  <c r="E12" i="17"/>
  <c r="D13" i="17"/>
  <c r="B20" i="17"/>
  <c r="B19" i="17"/>
  <c r="J14" i="11" s="1"/>
  <c r="B18" i="17"/>
  <c r="I14" i="11" s="1"/>
  <c r="B17" i="17"/>
  <c r="H14" i="11" s="1"/>
  <c r="B16" i="17"/>
  <c r="B15" i="17"/>
  <c r="F14" i="11" s="1"/>
  <c r="B14" i="17"/>
  <c r="E14" i="11" s="1"/>
  <c r="B13" i="17"/>
  <c r="D14" i="11" s="1"/>
  <c r="B12" i="17"/>
  <c r="C20" i="17"/>
  <c r="C19" i="17"/>
  <c r="C18" i="17"/>
  <c r="C17" i="17"/>
  <c r="C16" i="17"/>
  <c r="C15" i="17"/>
  <c r="C14" i="17"/>
  <c r="C13" i="17"/>
  <c r="C12" i="17"/>
  <c r="B51" i="60"/>
  <c r="L36" i="60"/>
  <c r="O8" i="60"/>
  <c r="M36" i="60"/>
  <c r="E35" i="60"/>
  <c r="E316" i="60" s="1"/>
  <c r="F317" i="60" s="1"/>
  <c r="F35" i="60"/>
  <c r="G316" i="60" s="1"/>
  <c r="H35" i="60"/>
  <c r="G333" i="60" s="1"/>
  <c r="H334" i="60" s="1"/>
  <c r="G35" i="60"/>
  <c r="E333" i="60" s="1"/>
  <c r="K35" i="60"/>
  <c r="E367" i="60" s="1"/>
  <c r="I35" i="60"/>
  <c r="E350" i="60" s="1"/>
  <c r="F351" i="60" s="1"/>
  <c r="J35" i="60"/>
  <c r="G350" i="60" s="1"/>
  <c r="H351" i="60" s="1"/>
  <c r="D35" i="60"/>
  <c r="E299" i="60" s="1"/>
  <c r="C35" i="60"/>
  <c r="E282" i="60" s="1"/>
  <c r="F283" i="60" s="1"/>
  <c r="B34" i="60"/>
  <c r="E58" i="17" l="1"/>
  <c r="E35" i="17"/>
  <c r="C58" i="17"/>
  <c r="C35" i="17"/>
  <c r="D58" i="17"/>
  <c r="D35" i="17"/>
  <c r="B58" i="17"/>
  <c r="B18" i="11"/>
  <c r="M3" i="17"/>
  <c r="B36" i="17"/>
  <c r="G14" i="11"/>
  <c r="B30" i="17"/>
  <c r="B27" i="11"/>
  <c r="B14" i="11"/>
  <c r="C22" i="11"/>
  <c r="C256" i="60"/>
  <c r="C18" i="11"/>
  <c r="D263" i="60"/>
  <c r="C14" i="11"/>
  <c r="C263" i="60"/>
  <c r="C27" i="11"/>
  <c r="F263" i="60"/>
  <c r="C257" i="60"/>
  <c r="B22" i="11"/>
  <c r="E262" i="60"/>
  <c r="I262" i="60" s="1"/>
  <c r="H317" i="60"/>
  <c r="F300" i="60"/>
  <c r="F334" i="60"/>
  <c r="F368" i="60"/>
  <c r="K14" i="11"/>
  <c r="L35" i="60"/>
  <c r="F34" i="60"/>
  <c r="G315" i="60" s="1"/>
  <c r="H316" i="60" s="1"/>
  <c r="D34" i="60"/>
  <c r="E298" i="60" s="1"/>
  <c r="G34" i="60"/>
  <c r="E332" i="60" s="1"/>
  <c r="I34" i="60"/>
  <c r="E349" i="60" s="1"/>
  <c r="H34" i="60"/>
  <c r="G332" i="60" s="1"/>
  <c r="J34" i="60"/>
  <c r="G349" i="60" s="1"/>
  <c r="C34" i="60"/>
  <c r="E281" i="60" s="1"/>
  <c r="F282" i="60" s="1"/>
  <c r="K34" i="60"/>
  <c r="E366" i="60" s="1"/>
  <c r="E34" i="60"/>
  <c r="E315" i="60" s="1"/>
  <c r="F316" i="60" s="1"/>
  <c r="M35" i="60"/>
  <c r="B33" i="60"/>
  <c r="B41" i="11" l="1"/>
  <c r="C41" i="11"/>
  <c r="I263" i="60"/>
  <c r="F350" i="60"/>
  <c r="H350" i="60"/>
  <c r="F333" i="60"/>
  <c r="H333" i="60"/>
  <c r="F299" i="60"/>
  <c r="F367" i="60"/>
  <c r="L34" i="60"/>
  <c r="G33" i="60"/>
  <c r="E331" i="60" s="1"/>
  <c r="F332" i="60" s="1"/>
  <c r="H33" i="60"/>
  <c r="G331" i="60" s="1"/>
  <c r="E33" i="60"/>
  <c r="E314" i="60" s="1"/>
  <c r="F315" i="60" s="1"/>
  <c r="I33" i="60"/>
  <c r="E348" i="60" s="1"/>
  <c r="J33" i="60"/>
  <c r="G348" i="60" s="1"/>
  <c r="C33" i="60"/>
  <c r="E280" i="60" s="1"/>
  <c r="K33" i="60"/>
  <c r="E365" i="60" s="1"/>
  <c r="D33" i="60"/>
  <c r="E297" i="60" s="1"/>
  <c r="F33" i="60"/>
  <c r="G314" i="60" s="1"/>
  <c r="M34" i="60"/>
  <c r="B32" i="60"/>
  <c r="A146" i="61"/>
  <c r="A145" i="61"/>
  <c r="A144" i="61"/>
  <c r="A143" i="61"/>
  <c r="A142" i="61"/>
  <c r="A141" i="61"/>
  <c r="A140" i="61"/>
  <c r="A139" i="61"/>
  <c r="A138" i="61"/>
  <c r="A137" i="61"/>
  <c r="A136" i="61"/>
  <c r="A135" i="61"/>
  <c r="A134" i="61"/>
  <c r="A133" i="61"/>
  <c r="A132" i="61"/>
  <c r="A131" i="61"/>
  <c r="A130" i="61"/>
  <c r="A129" i="61"/>
  <c r="A128" i="61"/>
  <c r="A127" i="61"/>
  <c r="A126" i="61"/>
  <c r="A125" i="61"/>
  <c r="A124" i="61"/>
  <c r="A123" i="61"/>
  <c r="A122" i="61"/>
  <c r="A121" i="61"/>
  <c r="A120" i="61"/>
  <c r="A119" i="61"/>
  <c r="A118" i="61"/>
  <c r="A117" i="61"/>
  <c r="A116" i="61"/>
  <c r="A115" i="61"/>
  <c r="A114" i="61"/>
  <c r="A113" i="61"/>
  <c r="A112" i="61"/>
  <c r="A111" i="61"/>
  <c r="A110" i="61"/>
  <c r="A109" i="61"/>
  <c r="A108" i="61"/>
  <c r="A107" i="61"/>
  <c r="A106" i="61"/>
  <c r="A105" i="61"/>
  <c r="A104" i="61"/>
  <c r="A103" i="61"/>
  <c r="A102" i="61"/>
  <c r="A101" i="61"/>
  <c r="A100" i="61"/>
  <c r="A99" i="61"/>
  <c r="A98" i="61"/>
  <c r="A97" i="61"/>
  <c r="A96" i="61"/>
  <c r="A95" i="61"/>
  <c r="A94" i="61"/>
  <c r="A93" i="61"/>
  <c r="A92" i="61"/>
  <c r="A91" i="61"/>
  <c r="A90" i="61"/>
  <c r="A89" i="61"/>
  <c r="A88" i="61"/>
  <c r="A87" i="61"/>
  <c r="A86" i="61"/>
  <c r="A85" i="61"/>
  <c r="A84" i="61"/>
  <c r="A83" i="61"/>
  <c r="A82" i="61"/>
  <c r="A81" i="61"/>
  <c r="A80" i="61"/>
  <c r="A79" i="61"/>
  <c r="A78" i="61"/>
  <c r="A77" i="61"/>
  <c r="A76" i="61"/>
  <c r="A75" i="61"/>
  <c r="A74" i="61"/>
  <c r="A73" i="61"/>
  <c r="A72" i="61"/>
  <c r="A71" i="61"/>
  <c r="A70" i="61"/>
  <c r="A69" i="61"/>
  <c r="A68" i="61"/>
  <c r="A67" i="61"/>
  <c r="A66" i="61"/>
  <c r="A65" i="61"/>
  <c r="A64" i="61"/>
  <c r="A63" i="61"/>
  <c r="A62" i="61"/>
  <c r="A61" i="61"/>
  <c r="A60" i="61"/>
  <c r="A59" i="61"/>
  <c r="A58" i="61"/>
  <c r="A57" i="61"/>
  <c r="A56" i="61"/>
  <c r="A55" i="61"/>
  <c r="A54" i="61"/>
  <c r="A53" i="61"/>
  <c r="A52" i="61"/>
  <c r="A51" i="61"/>
  <c r="A50" i="61"/>
  <c r="A49" i="61"/>
  <c r="A48" i="61"/>
  <c r="A47" i="61"/>
  <c r="A46" i="61"/>
  <c r="A45" i="61"/>
  <c r="A44" i="61"/>
  <c r="A43" i="61"/>
  <c r="A42" i="61"/>
  <c r="A41" i="61"/>
  <c r="A40" i="61"/>
  <c r="A39" i="61"/>
  <c r="A38" i="61"/>
  <c r="A37" i="61"/>
  <c r="A36" i="61"/>
  <c r="A35" i="61"/>
  <c r="A34" i="61"/>
  <c r="A33" i="61"/>
  <c r="A32" i="61"/>
  <c r="A31" i="61"/>
  <c r="A30" i="61"/>
  <c r="A29" i="61"/>
  <c r="A28" i="61"/>
  <c r="A27" i="61"/>
  <c r="A26" i="61"/>
  <c r="A25" i="61"/>
  <c r="A24" i="61"/>
  <c r="A23" i="61"/>
  <c r="A22" i="61"/>
  <c r="A21" i="61"/>
  <c r="A20" i="61"/>
  <c r="A19" i="61"/>
  <c r="A18" i="61"/>
  <c r="A17" i="61"/>
  <c r="A16" i="61"/>
  <c r="A15" i="61"/>
  <c r="A14" i="61"/>
  <c r="A13" i="61"/>
  <c r="A12" i="61"/>
  <c r="A11" i="61"/>
  <c r="A10" i="61"/>
  <c r="A9" i="61"/>
  <c r="A8" i="61"/>
  <c r="A7" i="61"/>
  <c r="A6" i="61"/>
  <c r="A5" i="61"/>
  <c r="A4" i="61"/>
  <c r="A3" i="61"/>
  <c r="F366" i="60" l="1"/>
  <c r="F298" i="60"/>
  <c r="F281" i="60"/>
  <c r="F349" i="60"/>
  <c r="H332" i="60"/>
  <c r="H315" i="60"/>
  <c r="H349" i="60"/>
  <c r="L33" i="60"/>
  <c r="M33" i="60"/>
  <c r="H32" i="60"/>
  <c r="G330" i="60" s="1"/>
  <c r="I32" i="60"/>
  <c r="E347" i="60" s="1"/>
  <c r="F348" i="60" s="1"/>
  <c r="C32" i="60"/>
  <c r="E279" i="60" s="1"/>
  <c r="K32" i="60"/>
  <c r="E364" i="60" s="1"/>
  <c r="J32" i="60"/>
  <c r="G347" i="60" s="1"/>
  <c r="H348" i="60" s="1"/>
  <c r="D32" i="60"/>
  <c r="E296" i="60" s="1"/>
  <c r="E32" i="60"/>
  <c r="E313" i="60" s="1"/>
  <c r="F32" i="60"/>
  <c r="G313" i="60" s="1"/>
  <c r="H314" i="60" s="1"/>
  <c r="G32" i="60"/>
  <c r="E330" i="60" s="1"/>
  <c r="F331" i="60" s="1"/>
  <c r="B31" i="60"/>
  <c r="B78" i="60"/>
  <c r="B77" i="60" s="1"/>
  <c r="D77" i="60" s="1"/>
  <c r="B34" i="17"/>
  <c r="C255" i="60" s="1"/>
  <c r="A27" i="17"/>
  <c r="A28" i="17"/>
  <c r="A29" i="17"/>
  <c r="A30" i="17"/>
  <c r="A31" i="17"/>
  <c r="A32" i="17"/>
  <c r="A33" i="17"/>
  <c r="A34" i="17"/>
  <c r="A26" i="17"/>
  <c r="B26" i="17"/>
  <c r="C247" i="60" l="1"/>
  <c r="H331" i="60"/>
  <c r="F280" i="60"/>
  <c r="F365" i="60"/>
  <c r="F314" i="60"/>
  <c r="F297" i="60"/>
  <c r="I93" i="73"/>
  <c r="I93" i="74"/>
  <c r="G55" i="73"/>
  <c r="G55" i="74"/>
  <c r="G13" i="73"/>
  <c r="G13" i="74"/>
  <c r="I102" i="73"/>
  <c r="I102" i="74"/>
  <c r="G48" i="73"/>
  <c r="G48" i="74"/>
  <c r="I22" i="73"/>
  <c r="I22" i="74"/>
  <c r="I103" i="73"/>
  <c r="I103" i="74"/>
  <c r="I87" i="73"/>
  <c r="I87" i="74"/>
  <c r="G81" i="73"/>
  <c r="G81" i="74"/>
  <c r="I71" i="73"/>
  <c r="I71" i="74"/>
  <c r="G65" i="73"/>
  <c r="G65" i="74"/>
  <c r="I55" i="73"/>
  <c r="I55" i="74"/>
  <c r="G49" i="73"/>
  <c r="L49" i="73" s="1"/>
  <c r="G49" i="74"/>
  <c r="I39" i="73"/>
  <c r="I39" i="74"/>
  <c r="G33" i="73"/>
  <c r="G33" i="74"/>
  <c r="G23" i="73"/>
  <c r="L23" i="73" s="1"/>
  <c r="G23" i="74"/>
  <c r="I17" i="73"/>
  <c r="I17" i="74"/>
  <c r="G7" i="73"/>
  <c r="G7" i="74"/>
  <c r="I146" i="73"/>
  <c r="I146" i="74"/>
  <c r="I138" i="73"/>
  <c r="I138" i="74"/>
  <c r="I130" i="73"/>
  <c r="I130" i="74"/>
  <c r="G122" i="73"/>
  <c r="G122" i="74"/>
  <c r="I112" i="73"/>
  <c r="I112" i="74"/>
  <c r="G106" i="73"/>
  <c r="G106" i="74"/>
  <c r="I96" i="73"/>
  <c r="I96" i="74"/>
  <c r="G90" i="73"/>
  <c r="G90" i="74"/>
  <c r="I80" i="73"/>
  <c r="I80" i="74"/>
  <c r="G74" i="73"/>
  <c r="G74" i="74"/>
  <c r="I64" i="73"/>
  <c r="I64" i="74"/>
  <c r="G58" i="73"/>
  <c r="G58" i="74"/>
  <c r="I48" i="73"/>
  <c r="I48" i="74"/>
  <c r="G42" i="73"/>
  <c r="L42" i="73" s="1"/>
  <c r="G42" i="74"/>
  <c r="I32" i="73"/>
  <c r="I32" i="74"/>
  <c r="G26" i="73"/>
  <c r="G26" i="74"/>
  <c r="I16" i="73"/>
  <c r="I16" i="74"/>
  <c r="G10" i="73"/>
  <c r="G10" i="74"/>
  <c r="G125" i="73"/>
  <c r="G125" i="74"/>
  <c r="G71" i="73"/>
  <c r="L71" i="73" s="1"/>
  <c r="G71" i="74"/>
  <c r="L71" i="74" s="1"/>
  <c r="I23" i="73"/>
  <c r="I23" i="74"/>
  <c r="I7" i="73"/>
  <c r="L7" i="73" s="1"/>
  <c r="I7" i="74"/>
  <c r="I70" i="73"/>
  <c r="I70" i="74"/>
  <c r="I38" i="73"/>
  <c r="I38" i="74"/>
  <c r="I125" i="73"/>
  <c r="I125" i="74"/>
  <c r="I81" i="73"/>
  <c r="I81" i="74"/>
  <c r="G59" i="73"/>
  <c r="G59" i="74"/>
  <c r="I49" i="73"/>
  <c r="I49" i="74"/>
  <c r="G43" i="73"/>
  <c r="G43" i="74"/>
  <c r="I33" i="73"/>
  <c r="I33" i="74"/>
  <c r="I27" i="73"/>
  <c r="L27" i="73" s="1"/>
  <c r="I27" i="74"/>
  <c r="G17" i="73"/>
  <c r="G17" i="74"/>
  <c r="I11" i="73"/>
  <c r="I11" i="74"/>
  <c r="G144" i="73"/>
  <c r="G144" i="74"/>
  <c r="G136" i="73"/>
  <c r="G136" i="74"/>
  <c r="G128" i="73"/>
  <c r="G128" i="74"/>
  <c r="I122" i="73"/>
  <c r="I122" i="74"/>
  <c r="G116" i="73"/>
  <c r="G116" i="74"/>
  <c r="I106" i="73"/>
  <c r="L106" i="73" s="1"/>
  <c r="I106" i="74"/>
  <c r="G100" i="73"/>
  <c r="G100" i="74"/>
  <c r="I90" i="73"/>
  <c r="I90" i="74"/>
  <c r="G84" i="73"/>
  <c r="G84" i="74"/>
  <c r="I74" i="73"/>
  <c r="L74" i="73" s="1"/>
  <c r="I74" i="74"/>
  <c r="G68" i="73"/>
  <c r="G68" i="74"/>
  <c r="I58" i="73"/>
  <c r="I58" i="74"/>
  <c r="G52" i="73"/>
  <c r="G52" i="74"/>
  <c r="I42" i="73"/>
  <c r="I42" i="74"/>
  <c r="G36" i="73"/>
  <c r="G36" i="74"/>
  <c r="I26" i="73"/>
  <c r="I26" i="74"/>
  <c r="G20" i="73"/>
  <c r="G20" i="74"/>
  <c r="I10" i="73"/>
  <c r="L10" i="73" s="1"/>
  <c r="I10" i="74"/>
  <c r="G4" i="73"/>
  <c r="G4" i="74"/>
  <c r="G141" i="73"/>
  <c r="G141" i="74"/>
  <c r="G103" i="73"/>
  <c r="G103" i="74"/>
  <c r="I29" i="73"/>
  <c r="I29" i="74"/>
  <c r="G112" i="73"/>
  <c r="G112" i="74"/>
  <c r="G96" i="73"/>
  <c r="G96" i="74"/>
  <c r="I141" i="73"/>
  <c r="I141" i="74"/>
  <c r="G139" i="73"/>
  <c r="G139" i="74"/>
  <c r="I97" i="73"/>
  <c r="I97" i="74"/>
  <c r="G101" i="73"/>
  <c r="G101" i="74"/>
  <c r="I75" i="73"/>
  <c r="I75" i="74"/>
  <c r="G53" i="73"/>
  <c r="G53" i="74"/>
  <c r="I43" i="73"/>
  <c r="I43" i="74"/>
  <c r="G37" i="73"/>
  <c r="G37" i="74"/>
  <c r="G27" i="73"/>
  <c r="G27" i="74"/>
  <c r="I21" i="73"/>
  <c r="I21" i="74"/>
  <c r="G11" i="73"/>
  <c r="G11" i="74"/>
  <c r="I5" i="73"/>
  <c r="I5" i="74"/>
  <c r="I144" i="73"/>
  <c r="I144" i="74"/>
  <c r="I136" i="73"/>
  <c r="I136" i="74"/>
  <c r="I128" i="73"/>
  <c r="I128" i="74"/>
  <c r="I116" i="73"/>
  <c r="I116" i="74"/>
  <c r="G110" i="73"/>
  <c r="G110" i="74"/>
  <c r="I100" i="73"/>
  <c r="I100" i="74"/>
  <c r="G94" i="73"/>
  <c r="G94" i="74"/>
  <c r="I84" i="73"/>
  <c r="I84" i="74"/>
  <c r="G78" i="73"/>
  <c r="G78" i="74"/>
  <c r="I68" i="73"/>
  <c r="I68" i="74"/>
  <c r="G62" i="73"/>
  <c r="G62" i="74"/>
  <c r="I52" i="73"/>
  <c r="I52" i="74"/>
  <c r="G46" i="73"/>
  <c r="G46" i="74"/>
  <c r="I36" i="73"/>
  <c r="I36" i="74"/>
  <c r="G30" i="73"/>
  <c r="G30" i="74"/>
  <c r="I20" i="73"/>
  <c r="I20" i="74"/>
  <c r="G14" i="73"/>
  <c r="G14" i="74"/>
  <c r="I4" i="73"/>
  <c r="I4" i="74"/>
  <c r="G87" i="73"/>
  <c r="G87" i="74"/>
  <c r="G39" i="73"/>
  <c r="L39" i="73" s="1"/>
  <c r="G39" i="74"/>
  <c r="L39" i="74" s="1"/>
  <c r="G146" i="73"/>
  <c r="G146" i="74"/>
  <c r="I86" i="73"/>
  <c r="I86" i="74"/>
  <c r="G113" i="73"/>
  <c r="G113" i="74"/>
  <c r="I113" i="73"/>
  <c r="I113" i="74"/>
  <c r="I65" i="73"/>
  <c r="I65" i="74"/>
  <c r="G117" i="73"/>
  <c r="G117" i="74"/>
  <c r="I91" i="73"/>
  <c r="I91" i="74"/>
  <c r="G145" i="73"/>
  <c r="G145" i="74"/>
  <c r="G129" i="73"/>
  <c r="G129" i="74"/>
  <c r="I117" i="73"/>
  <c r="I117" i="74"/>
  <c r="G111" i="73"/>
  <c r="G111" i="74"/>
  <c r="I101" i="73"/>
  <c r="I101" i="74"/>
  <c r="G95" i="73"/>
  <c r="G95" i="74"/>
  <c r="I85" i="73"/>
  <c r="I85" i="74"/>
  <c r="G79" i="73"/>
  <c r="G79" i="74"/>
  <c r="I69" i="73"/>
  <c r="I69" i="74"/>
  <c r="G63" i="73"/>
  <c r="G63" i="74"/>
  <c r="I53" i="73"/>
  <c r="I53" i="74"/>
  <c r="G47" i="73"/>
  <c r="G47" i="74"/>
  <c r="I37" i="73"/>
  <c r="I37" i="74"/>
  <c r="G31" i="73"/>
  <c r="G31" i="74"/>
  <c r="G21" i="73"/>
  <c r="L21" i="73" s="1"/>
  <c r="G21" i="74"/>
  <c r="L21" i="74" s="1"/>
  <c r="I15" i="73"/>
  <c r="I15" i="74"/>
  <c r="G5" i="73"/>
  <c r="L5" i="73" s="1"/>
  <c r="G5" i="74"/>
  <c r="L5" i="74" s="1"/>
  <c r="G142" i="73"/>
  <c r="G142" i="74"/>
  <c r="G134" i="73"/>
  <c r="G134" i="74"/>
  <c r="G126" i="73"/>
  <c r="G126" i="74"/>
  <c r="G120" i="73"/>
  <c r="G120" i="74"/>
  <c r="I110" i="73"/>
  <c r="I110" i="74"/>
  <c r="G104" i="73"/>
  <c r="G104" i="74"/>
  <c r="I94" i="73"/>
  <c r="I94" i="74"/>
  <c r="G88" i="73"/>
  <c r="G88" i="74"/>
  <c r="I78" i="73"/>
  <c r="I78" i="74"/>
  <c r="G72" i="73"/>
  <c r="G72" i="74"/>
  <c r="I62" i="73"/>
  <c r="I62" i="74"/>
  <c r="G56" i="73"/>
  <c r="G56" i="74"/>
  <c r="I46" i="73"/>
  <c r="I46" i="74"/>
  <c r="G40" i="73"/>
  <c r="L40" i="73" s="1"/>
  <c r="G40" i="74"/>
  <c r="I30" i="73"/>
  <c r="I30" i="74"/>
  <c r="G24" i="73"/>
  <c r="G24" i="74"/>
  <c r="I14" i="73"/>
  <c r="I14" i="74"/>
  <c r="G8" i="73"/>
  <c r="L8" i="73" s="1"/>
  <c r="G8" i="74"/>
  <c r="G133" i="73"/>
  <c r="G133" i="74"/>
  <c r="I77" i="73"/>
  <c r="I77" i="74"/>
  <c r="G138" i="73"/>
  <c r="L138" i="73" s="1"/>
  <c r="G138" i="74"/>
  <c r="L138" i="74" s="1"/>
  <c r="I54" i="73"/>
  <c r="I54" i="74"/>
  <c r="G16" i="73"/>
  <c r="G16" i="74"/>
  <c r="G97" i="73"/>
  <c r="G97" i="74"/>
  <c r="L97" i="74" s="1"/>
  <c r="G91" i="73"/>
  <c r="G91" i="74"/>
  <c r="L91" i="74" s="1"/>
  <c r="I123" i="73"/>
  <c r="I123" i="74"/>
  <c r="G69" i="73"/>
  <c r="G69" i="74"/>
  <c r="I137" i="73"/>
  <c r="I137" i="74"/>
  <c r="G121" i="73"/>
  <c r="L121" i="73" s="1"/>
  <c r="G121" i="74"/>
  <c r="I111" i="73"/>
  <c r="L111" i="73" s="1"/>
  <c r="I111" i="74"/>
  <c r="G105" i="73"/>
  <c r="G105" i="74"/>
  <c r="I95" i="73"/>
  <c r="I95" i="74"/>
  <c r="G89" i="73"/>
  <c r="G89" i="74"/>
  <c r="I79" i="73"/>
  <c r="L79" i="73" s="1"/>
  <c r="I79" i="74"/>
  <c r="G73" i="73"/>
  <c r="G73" i="74"/>
  <c r="I63" i="73"/>
  <c r="I63" i="74"/>
  <c r="G57" i="73"/>
  <c r="G57" i="74"/>
  <c r="I47" i="73"/>
  <c r="L47" i="73" s="1"/>
  <c r="I47" i="74"/>
  <c r="G41" i="73"/>
  <c r="G41" i="74"/>
  <c r="I31" i="73"/>
  <c r="I31" i="74"/>
  <c r="I25" i="73"/>
  <c r="I25" i="74"/>
  <c r="G15" i="73"/>
  <c r="G15" i="74"/>
  <c r="I9" i="73"/>
  <c r="I9" i="74"/>
  <c r="I142" i="73"/>
  <c r="I142" i="74"/>
  <c r="I134" i="73"/>
  <c r="I134" i="74"/>
  <c r="I126" i="73"/>
  <c r="L126" i="73" s="1"/>
  <c r="M126" i="73" s="1"/>
  <c r="N126" i="73" s="1"/>
  <c r="O126" i="73" s="1"/>
  <c r="I126" i="74"/>
  <c r="I120" i="73"/>
  <c r="I120" i="74"/>
  <c r="G114" i="73"/>
  <c r="G114" i="74"/>
  <c r="I104" i="73"/>
  <c r="I104" i="74"/>
  <c r="G98" i="73"/>
  <c r="G98" i="74"/>
  <c r="I88" i="73"/>
  <c r="I88" i="74"/>
  <c r="G82" i="73"/>
  <c r="G82" i="74"/>
  <c r="I72" i="73"/>
  <c r="I72" i="74"/>
  <c r="G66" i="73"/>
  <c r="L66" i="73" s="1"/>
  <c r="G66" i="74"/>
  <c r="I56" i="73"/>
  <c r="I56" i="74"/>
  <c r="G50" i="73"/>
  <c r="G50" i="74"/>
  <c r="I40" i="73"/>
  <c r="I40" i="74"/>
  <c r="G34" i="73"/>
  <c r="L34" i="73" s="1"/>
  <c r="G34" i="74"/>
  <c r="I24" i="73"/>
  <c r="I24" i="74"/>
  <c r="G18" i="73"/>
  <c r="G18" i="74"/>
  <c r="I8" i="73"/>
  <c r="I8" i="74"/>
  <c r="G119" i="73"/>
  <c r="G119" i="74"/>
  <c r="I45" i="73"/>
  <c r="I45" i="74"/>
  <c r="G130" i="73"/>
  <c r="G130" i="74"/>
  <c r="G80" i="73"/>
  <c r="G80" i="74"/>
  <c r="G32" i="73"/>
  <c r="L32" i="73" s="1"/>
  <c r="G32" i="74"/>
  <c r="L32" i="74" s="1"/>
  <c r="I133" i="73"/>
  <c r="I133" i="74"/>
  <c r="G123" i="73"/>
  <c r="G123" i="74"/>
  <c r="G75" i="73"/>
  <c r="L75" i="73" s="1"/>
  <c r="G75" i="74"/>
  <c r="L75" i="74" s="1"/>
  <c r="I131" i="73"/>
  <c r="I131" i="74"/>
  <c r="G85" i="73"/>
  <c r="G85" i="74"/>
  <c r="I59" i="73"/>
  <c r="I59" i="74"/>
  <c r="I145" i="73"/>
  <c r="I145" i="74"/>
  <c r="G143" i="73"/>
  <c r="G143" i="74"/>
  <c r="I121" i="73"/>
  <c r="I121" i="74"/>
  <c r="I105" i="73"/>
  <c r="L105" i="73" s="1"/>
  <c r="I105" i="74"/>
  <c r="G99" i="73"/>
  <c r="L99" i="73" s="1"/>
  <c r="G99" i="74"/>
  <c r="I89" i="73"/>
  <c r="L89" i="73" s="1"/>
  <c r="I89" i="74"/>
  <c r="G83" i="73"/>
  <c r="G83" i="74"/>
  <c r="I73" i="73"/>
  <c r="L73" i="73" s="1"/>
  <c r="I73" i="74"/>
  <c r="G67" i="73"/>
  <c r="G67" i="74"/>
  <c r="I57" i="73"/>
  <c r="L57" i="73" s="1"/>
  <c r="I57" i="74"/>
  <c r="G51" i="73"/>
  <c r="G51" i="74"/>
  <c r="I41" i="73"/>
  <c r="L41" i="73" s="1"/>
  <c r="I41" i="74"/>
  <c r="G35" i="73"/>
  <c r="G35" i="74"/>
  <c r="G25" i="73"/>
  <c r="G25" i="74"/>
  <c r="I19" i="73"/>
  <c r="I19" i="74"/>
  <c r="G9" i="73"/>
  <c r="G9" i="74"/>
  <c r="I3" i="73"/>
  <c r="I3" i="74"/>
  <c r="G140" i="73"/>
  <c r="G140" i="74"/>
  <c r="G132" i="73"/>
  <c r="G132" i="74"/>
  <c r="G124" i="73"/>
  <c r="G124" i="74"/>
  <c r="I114" i="73"/>
  <c r="I114" i="74"/>
  <c r="G108" i="73"/>
  <c r="G108" i="74"/>
  <c r="I98" i="73"/>
  <c r="I98" i="74"/>
  <c r="G92" i="73"/>
  <c r="G92" i="74"/>
  <c r="I82" i="73"/>
  <c r="I82" i="74"/>
  <c r="G76" i="73"/>
  <c r="G76" i="74"/>
  <c r="I66" i="73"/>
  <c r="I66" i="74"/>
  <c r="G60" i="73"/>
  <c r="G60" i="74"/>
  <c r="I50" i="73"/>
  <c r="I50" i="74"/>
  <c r="G44" i="73"/>
  <c r="G44" i="74"/>
  <c r="I34" i="73"/>
  <c r="I34" i="74"/>
  <c r="G28" i="73"/>
  <c r="G28" i="74"/>
  <c r="I18" i="73"/>
  <c r="I18" i="74"/>
  <c r="G12" i="73"/>
  <c r="G12" i="74"/>
  <c r="I109" i="73"/>
  <c r="I109" i="74"/>
  <c r="I61" i="73"/>
  <c r="I61" i="74"/>
  <c r="I118" i="73"/>
  <c r="L118" i="73" s="1"/>
  <c r="I118" i="74"/>
  <c r="G64" i="73"/>
  <c r="L64" i="73" s="1"/>
  <c r="G64" i="74"/>
  <c r="L64" i="74" s="1"/>
  <c r="I6" i="73"/>
  <c r="I6" i="74"/>
  <c r="I119" i="73"/>
  <c r="I119" i="74"/>
  <c r="G131" i="73"/>
  <c r="G131" i="74"/>
  <c r="G107" i="73"/>
  <c r="G107" i="74"/>
  <c r="I139" i="73"/>
  <c r="I139" i="74"/>
  <c r="I107" i="73"/>
  <c r="I107" i="74"/>
  <c r="G137" i="73"/>
  <c r="G137" i="74"/>
  <c r="I129" i="73"/>
  <c r="L129" i="73" s="1"/>
  <c r="M129" i="73" s="1"/>
  <c r="N129" i="73" s="1"/>
  <c r="O129" i="73" s="1"/>
  <c r="I129" i="74"/>
  <c r="G135" i="73"/>
  <c r="G135" i="74"/>
  <c r="G127" i="73"/>
  <c r="G127" i="74"/>
  <c r="G115" i="73"/>
  <c r="L115" i="73" s="1"/>
  <c r="G115" i="74"/>
  <c r="I143" i="73"/>
  <c r="I143" i="74"/>
  <c r="I135" i="73"/>
  <c r="I135" i="74"/>
  <c r="I127" i="73"/>
  <c r="I127" i="74"/>
  <c r="I115" i="73"/>
  <c r="I115" i="74"/>
  <c r="G109" i="73"/>
  <c r="L109" i="73" s="1"/>
  <c r="G109" i="74"/>
  <c r="I99" i="73"/>
  <c r="I99" i="74"/>
  <c r="G93" i="73"/>
  <c r="G93" i="74"/>
  <c r="I83" i="73"/>
  <c r="L83" i="73" s="1"/>
  <c r="I83" i="74"/>
  <c r="G77" i="73"/>
  <c r="L77" i="73" s="1"/>
  <c r="G77" i="74"/>
  <c r="I67" i="73"/>
  <c r="I67" i="74"/>
  <c r="G61" i="73"/>
  <c r="G61" i="74"/>
  <c r="L61" i="74" s="1"/>
  <c r="I51" i="73"/>
  <c r="L51" i="73" s="1"/>
  <c r="I51" i="74"/>
  <c r="G45" i="73"/>
  <c r="L45" i="73" s="1"/>
  <c r="G45" i="74"/>
  <c r="I35" i="73"/>
  <c r="I35" i="74"/>
  <c r="G29" i="73"/>
  <c r="G29" i="74"/>
  <c r="G19" i="73"/>
  <c r="G19" i="74"/>
  <c r="L19" i="74" s="1"/>
  <c r="I13" i="73"/>
  <c r="I13" i="74"/>
  <c r="G3" i="73"/>
  <c r="G3" i="74"/>
  <c r="I140" i="73"/>
  <c r="I140" i="74"/>
  <c r="I132" i="73"/>
  <c r="I132" i="74"/>
  <c r="I124" i="73"/>
  <c r="I124" i="74"/>
  <c r="G118" i="73"/>
  <c r="G118" i="74"/>
  <c r="I108" i="73"/>
  <c r="I108" i="74"/>
  <c r="G102" i="73"/>
  <c r="L102" i="73" s="1"/>
  <c r="G102" i="74"/>
  <c r="L102" i="74" s="1"/>
  <c r="I92" i="73"/>
  <c r="I92" i="74"/>
  <c r="G86" i="73"/>
  <c r="G86" i="74"/>
  <c r="I76" i="73"/>
  <c r="I76" i="74"/>
  <c r="G70" i="73"/>
  <c r="G70" i="74"/>
  <c r="I60" i="73"/>
  <c r="I60" i="74"/>
  <c r="G54" i="73"/>
  <c r="G54" i="74"/>
  <c r="I44" i="73"/>
  <c r="I44" i="74"/>
  <c r="G38" i="73"/>
  <c r="L38" i="73" s="1"/>
  <c r="G38" i="74"/>
  <c r="L38" i="74" s="1"/>
  <c r="I28" i="73"/>
  <c r="I28" i="74"/>
  <c r="G22" i="73"/>
  <c r="G22" i="74"/>
  <c r="L22" i="74" s="1"/>
  <c r="I12" i="73"/>
  <c r="I12" i="74"/>
  <c r="G6" i="73"/>
  <c r="L6" i="73" s="1"/>
  <c r="G6" i="74"/>
  <c r="L6" i="74" s="1"/>
  <c r="D81" i="73"/>
  <c r="D81" i="74"/>
  <c r="D17" i="73"/>
  <c r="D17" i="74"/>
  <c r="D106" i="73"/>
  <c r="D106" i="74"/>
  <c r="D58" i="73"/>
  <c r="D58" i="74"/>
  <c r="D107" i="73"/>
  <c r="D107" i="74"/>
  <c r="D91" i="73"/>
  <c r="D91" i="74"/>
  <c r="D75" i="73"/>
  <c r="D75" i="74"/>
  <c r="D59" i="73"/>
  <c r="D59" i="74"/>
  <c r="D43" i="73"/>
  <c r="D43" i="74"/>
  <c r="D27" i="73"/>
  <c r="D27" i="74"/>
  <c r="D11" i="73"/>
  <c r="D11" i="74"/>
  <c r="D116" i="73"/>
  <c r="D116" i="74"/>
  <c r="D100" i="73"/>
  <c r="D100" i="74"/>
  <c r="D84" i="73"/>
  <c r="D84" i="74"/>
  <c r="D68" i="73"/>
  <c r="D68" i="74"/>
  <c r="D52" i="73"/>
  <c r="D52" i="74"/>
  <c r="D36" i="73"/>
  <c r="D36" i="74"/>
  <c r="D20" i="73"/>
  <c r="D20" i="74"/>
  <c r="D4" i="73"/>
  <c r="D4" i="74"/>
  <c r="D113" i="73"/>
  <c r="D113" i="74"/>
  <c r="D65" i="73"/>
  <c r="D65" i="74"/>
  <c r="D26" i="73"/>
  <c r="D26" i="74"/>
  <c r="D101" i="73"/>
  <c r="D101" i="74"/>
  <c r="D85" i="73"/>
  <c r="D85" i="74"/>
  <c r="D69" i="73"/>
  <c r="D69" i="74"/>
  <c r="D53" i="73"/>
  <c r="D53" i="74"/>
  <c r="D37" i="73"/>
  <c r="D37" i="74"/>
  <c r="D21" i="73"/>
  <c r="D21" i="74"/>
  <c r="D5" i="73"/>
  <c r="D5" i="74"/>
  <c r="D110" i="73"/>
  <c r="D110" i="74"/>
  <c r="D94" i="73"/>
  <c r="D94" i="74"/>
  <c r="D78" i="73"/>
  <c r="D78" i="74"/>
  <c r="D62" i="73"/>
  <c r="D62" i="74"/>
  <c r="D46" i="73"/>
  <c r="D46" i="74"/>
  <c r="D30" i="73"/>
  <c r="D30" i="74"/>
  <c r="D14" i="73"/>
  <c r="D14" i="74"/>
  <c r="D111" i="73"/>
  <c r="D111" i="74"/>
  <c r="D95" i="73"/>
  <c r="D95" i="74"/>
  <c r="D79" i="73"/>
  <c r="D79" i="74"/>
  <c r="D63" i="73"/>
  <c r="D63" i="74"/>
  <c r="D47" i="73"/>
  <c r="D47" i="74"/>
  <c r="D31" i="73"/>
  <c r="D31" i="74"/>
  <c r="D15" i="73"/>
  <c r="D15" i="74"/>
  <c r="D120" i="73"/>
  <c r="D120" i="74"/>
  <c r="D104" i="73"/>
  <c r="D104" i="74"/>
  <c r="D88" i="73"/>
  <c r="D88" i="74"/>
  <c r="D72" i="73"/>
  <c r="D72" i="74"/>
  <c r="D56" i="73"/>
  <c r="D56" i="74"/>
  <c r="D40" i="73"/>
  <c r="D40" i="74"/>
  <c r="D24" i="73"/>
  <c r="D24" i="74"/>
  <c r="D8" i="73"/>
  <c r="D8" i="74"/>
  <c r="D49" i="73"/>
  <c r="D49" i="74"/>
  <c r="D122" i="73"/>
  <c r="D122" i="74"/>
  <c r="D74" i="73"/>
  <c r="D74" i="74"/>
  <c r="D42" i="73"/>
  <c r="D42" i="74"/>
  <c r="D121" i="73"/>
  <c r="D121" i="74"/>
  <c r="D105" i="73"/>
  <c r="D105" i="74"/>
  <c r="D89" i="73"/>
  <c r="D89" i="74"/>
  <c r="D73" i="73"/>
  <c r="D73" i="74"/>
  <c r="D57" i="73"/>
  <c r="D57" i="74"/>
  <c r="D41" i="73"/>
  <c r="D41" i="74"/>
  <c r="D25" i="73"/>
  <c r="D25" i="74"/>
  <c r="D9" i="73"/>
  <c r="D9" i="74"/>
  <c r="D114" i="73"/>
  <c r="D114" i="74"/>
  <c r="D98" i="73"/>
  <c r="D98" i="74"/>
  <c r="D82" i="73"/>
  <c r="D82" i="74"/>
  <c r="D66" i="73"/>
  <c r="D66" i="74"/>
  <c r="D50" i="73"/>
  <c r="D50" i="74"/>
  <c r="D34" i="73"/>
  <c r="D34" i="74"/>
  <c r="D18" i="73"/>
  <c r="D18" i="74"/>
  <c r="D97" i="73"/>
  <c r="D97" i="74"/>
  <c r="M97" i="74" s="1"/>
  <c r="N97" i="74" s="1"/>
  <c r="O97" i="74" s="1"/>
  <c r="D90" i="73"/>
  <c r="D90" i="74"/>
  <c r="D10" i="73"/>
  <c r="D10" i="74"/>
  <c r="D115" i="73"/>
  <c r="D115" i="74"/>
  <c r="D99" i="73"/>
  <c r="D99" i="74"/>
  <c r="D83" i="73"/>
  <c r="D83" i="74"/>
  <c r="D67" i="73"/>
  <c r="D67" i="74"/>
  <c r="D51" i="73"/>
  <c r="D51" i="74"/>
  <c r="D35" i="73"/>
  <c r="D35" i="74"/>
  <c r="D19" i="73"/>
  <c r="D19" i="74"/>
  <c r="D3" i="73"/>
  <c r="D3" i="74"/>
  <c r="D108" i="73"/>
  <c r="D108" i="74"/>
  <c r="D92" i="73"/>
  <c r="D92" i="74"/>
  <c r="D76" i="73"/>
  <c r="D76" i="74"/>
  <c r="D60" i="73"/>
  <c r="D60" i="74"/>
  <c r="D44" i="73"/>
  <c r="D44" i="74"/>
  <c r="D28" i="73"/>
  <c r="D28" i="74"/>
  <c r="D12" i="73"/>
  <c r="D12" i="74"/>
  <c r="D117" i="73"/>
  <c r="D117" i="74"/>
  <c r="D109" i="73"/>
  <c r="D109" i="74"/>
  <c r="D93" i="73"/>
  <c r="D93" i="74"/>
  <c r="D77" i="73"/>
  <c r="D77" i="74"/>
  <c r="D61" i="73"/>
  <c r="D61" i="74"/>
  <c r="D45" i="73"/>
  <c r="D45" i="74"/>
  <c r="D29" i="73"/>
  <c r="D29" i="74"/>
  <c r="D13" i="73"/>
  <c r="D13" i="74"/>
  <c r="D118" i="73"/>
  <c r="D118" i="74"/>
  <c r="D102" i="73"/>
  <c r="D102" i="74"/>
  <c r="D86" i="73"/>
  <c r="D86" i="74"/>
  <c r="D70" i="73"/>
  <c r="D70" i="74"/>
  <c r="D54" i="73"/>
  <c r="D54" i="74"/>
  <c r="D38" i="73"/>
  <c r="D38" i="74"/>
  <c r="D22" i="73"/>
  <c r="D22" i="74"/>
  <c r="M22" i="74" s="1"/>
  <c r="N22" i="74" s="1"/>
  <c r="O22" i="74" s="1"/>
  <c r="D6" i="73"/>
  <c r="D6" i="74"/>
  <c r="M6" i="74" s="1"/>
  <c r="N6" i="74" s="1"/>
  <c r="O6" i="74" s="1"/>
  <c r="D33" i="73"/>
  <c r="D33" i="74"/>
  <c r="D119" i="73"/>
  <c r="D119" i="74"/>
  <c r="D103" i="73"/>
  <c r="D103" i="74"/>
  <c r="D87" i="73"/>
  <c r="D87" i="74"/>
  <c r="D71" i="73"/>
  <c r="D71" i="74"/>
  <c r="M71" i="74" s="1"/>
  <c r="N71" i="74" s="1"/>
  <c r="O71" i="74" s="1"/>
  <c r="D55" i="73"/>
  <c r="D55" i="74"/>
  <c r="D39" i="73"/>
  <c r="D39" i="74"/>
  <c r="D23" i="73"/>
  <c r="D23" i="74"/>
  <c r="D7" i="73"/>
  <c r="D7" i="74"/>
  <c r="D112" i="73"/>
  <c r="D112" i="74"/>
  <c r="D96" i="73"/>
  <c r="D96" i="74"/>
  <c r="D80" i="73"/>
  <c r="D80" i="74"/>
  <c r="D64" i="73"/>
  <c r="M64" i="73" s="1"/>
  <c r="N64" i="73" s="1"/>
  <c r="O64" i="73" s="1"/>
  <c r="D64" i="74"/>
  <c r="D48" i="73"/>
  <c r="D48" i="74"/>
  <c r="D32" i="73"/>
  <c r="D32" i="74"/>
  <c r="D16" i="73"/>
  <c r="D16" i="74"/>
  <c r="L81" i="73"/>
  <c r="L122" i="73"/>
  <c r="L58" i="73"/>
  <c r="L145" i="73"/>
  <c r="L142" i="73"/>
  <c r="L134" i="73"/>
  <c r="L35" i="73"/>
  <c r="L132" i="73"/>
  <c r="L61" i="73"/>
  <c r="L22" i="73"/>
  <c r="N29" i="11"/>
  <c r="L79" i="60"/>
  <c r="L32" i="60"/>
  <c r="M32" i="60"/>
  <c r="I31" i="60"/>
  <c r="E346" i="60" s="1"/>
  <c r="F347" i="60" s="1"/>
  <c r="J31" i="60"/>
  <c r="G346" i="60" s="1"/>
  <c r="C31" i="60"/>
  <c r="E278" i="60" s="1"/>
  <c r="K31" i="60"/>
  <c r="E363" i="60" s="1"/>
  <c r="D31" i="60"/>
  <c r="E295" i="60" s="1"/>
  <c r="E31" i="60"/>
  <c r="E312" i="60" s="1"/>
  <c r="F313" i="60" s="1"/>
  <c r="F31" i="60"/>
  <c r="G312" i="60" s="1"/>
  <c r="H313" i="60" s="1"/>
  <c r="H31" i="60"/>
  <c r="G329" i="60" s="1"/>
  <c r="H330" i="60" s="1"/>
  <c r="G31" i="60"/>
  <c r="E329" i="60" s="1"/>
  <c r="F330" i="60" s="1"/>
  <c r="N79" i="60"/>
  <c r="H79" i="60"/>
  <c r="F77" i="60"/>
  <c r="J77" i="60"/>
  <c r="H77" i="60"/>
  <c r="B30" i="60"/>
  <c r="N78" i="60"/>
  <c r="L78" i="60"/>
  <c r="J78" i="60"/>
  <c r="D78" i="60"/>
  <c r="H78" i="60"/>
  <c r="L77" i="60"/>
  <c r="D79" i="60"/>
  <c r="N77" i="60"/>
  <c r="F79" i="60"/>
  <c r="J79" i="60"/>
  <c r="F78" i="60"/>
  <c r="K79" i="60"/>
  <c r="C79" i="60"/>
  <c r="G78" i="60"/>
  <c r="C78" i="60"/>
  <c r="K77" i="60"/>
  <c r="G77" i="60"/>
  <c r="C77" i="60"/>
  <c r="M79" i="60"/>
  <c r="I79" i="60"/>
  <c r="E79" i="60"/>
  <c r="M78" i="60"/>
  <c r="I78" i="60"/>
  <c r="E78" i="60"/>
  <c r="M77" i="60"/>
  <c r="I77" i="60"/>
  <c r="E77" i="60"/>
  <c r="K78" i="60"/>
  <c r="G79" i="60"/>
  <c r="B76" i="60"/>
  <c r="C76" i="60" s="1"/>
  <c r="B13" i="9" l="1"/>
  <c r="L31" i="73"/>
  <c r="L63" i="73"/>
  <c r="L95" i="73"/>
  <c r="M64" i="74"/>
  <c r="N64" i="74" s="1"/>
  <c r="O64" i="74" s="1"/>
  <c r="M19" i="74"/>
  <c r="N19" i="74" s="1"/>
  <c r="O19" i="74" s="1"/>
  <c r="L92" i="73"/>
  <c r="M92" i="73" s="1"/>
  <c r="N92" i="73" s="1"/>
  <c r="O92" i="73" s="1"/>
  <c r="L44" i="73"/>
  <c r="M44" i="73" s="1"/>
  <c r="N44" i="73" s="1"/>
  <c r="O44" i="73" s="1"/>
  <c r="L72" i="73"/>
  <c r="L104" i="73"/>
  <c r="L86" i="73"/>
  <c r="M86" i="73" s="1"/>
  <c r="N86" i="73" s="1"/>
  <c r="O86" i="73" s="1"/>
  <c r="L70" i="73"/>
  <c r="M70" i="73" s="1"/>
  <c r="N70" i="73" s="1"/>
  <c r="O70" i="73" s="1"/>
  <c r="M21" i="74"/>
  <c r="N21" i="74" s="1"/>
  <c r="O21" i="74" s="1"/>
  <c r="L70" i="74"/>
  <c r="M70" i="74" s="1"/>
  <c r="N70" i="74" s="1"/>
  <c r="O70" i="74" s="1"/>
  <c r="L131" i="74"/>
  <c r="M32" i="74"/>
  <c r="N32" i="74" s="1"/>
  <c r="O32" i="74" s="1"/>
  <c r="L29" i="74"/>
  <c r="M29" i="74" s="1"/>
  <c r="N29" i="74" s="1"/>
  <c r="O29" i="74" s="1"/>
  <c r="L93" i="74"/>
  <c r="M93" i="74" s="1"/>
  <c r="N93" i="74" s="1"/>
  <c r="O93" i="74" s="1"/>
  <c r="L123" i="74"/>
  <c r="L130" i="74"/>
  <c r="L54" i="74"/>
  <c r="L86" i="74"/>
  <c r="M86" i="74" s="1"/>
  <c r="N86" i="74" s="1"/>
  <c r="O86" i="74" s="1"/>
  <c r="L54" i="73"/>
  <c r="M54" i="73" s="1"/>
  <c r="N54" i="73" s="1"/>
  <c r="O54" i="73" s="1"/>
  <c r="L67" i="73"/>
  <c r="M67" i="73" s="1"/>
  <c r="N67" i="73" s="1"/>
  <c r="O67" i="73" s="1"/>
  <c r="L87" i="73"/>
  <c r="M71" i="73"/>
  <c r="N71" i="73" s="1"/>
  <c r="O71" i="73" s="1"/>
  <c r="M75" i="73"/>
  <c r="N75" i="73" s="1"/>
  <c r="O75" i="73" s="1"/>
  <c r="C127" i="60" a="1"/>
  <c r="C127" i="60" s="1"/>
  <c r="L17" i="73"/>
  <c r="M17" i="73" s="1"/>
  <c r="N17" i="73" s="1"/>
  <c r="O17" i="73" s="1"/>
  <c r="L27" i="74"/>
  <c r="M27" i="74" s="1"/>
  <c r="N27" i="74" s="1"/>
  <c r="O27" i="74" s="1"/>
  <c r="L19" i="73"/>
  <c r="M19" i="73" s="1"/>
  <c r="N19" i="73" s="1"/>
  <c r="O19" i="73" s="1"/>
  <c r="L96" i="74"/>
  <c r="M96" i="74" s="1"/>
  <c r="N96" i="74" s="1"/>
  <c r="O96" i="74" s="1"/>
  <c r="M32" i="73"/>
  <c r="N32" i="73" s="1"/>
  <c r="O32" i="73" s="1"/>
  <c r="L12" i="73"/>
  <c r="M12" i="73" s="1"/>
  <c r="N12" i="73" s="1"/>
  <c r="O12" i="73" s="1"/>
  <c r="L108" i="73"/>
  <c r="M108" i="73" s="1"/>
  <c r="N108" i="73" s="1"/>
  <c r="O108" i="73" s="1"/>
  <c r="L140" i="73"/>
  <c r="L29" i="73"/>
  <c r="L93" i="73"/>
  <c r="M93" i="73" s="1"/>
  <c r="N93" i="73" s="1"/>
  <c r="O93" i="73" s="1"/>
  <c r="L130" i="73"/>
  <c r="M130" i="73" s="1"/>
  <c r="N130" i="73" s="1"/>
  <c r="O130" i="73" s="1"/>
  <c r="L97" i="73"/>
  <c r="M97" i="73" s="1"/>
  <c r="N97" i="73" s="1"/>
  <c r="O97" i="73" s="1"/>
  <c r="L96" i="73"/>
  <c r="M96" i="73" s="1"/>
  <c r="N96" i="73" s="1"/>
  <c r="O96" i="73" s="1"/>
  <c r="L85" i="74"/>
  <c r="M85" i="74" s="1"/>
  <c r="N85" i="74" s="1"/>
  <c r="O85" i="74" s="1"/>
  <c r="L17" i="74"/>
  <c r="M17" i="74" s="1"/>
  <c r="N17" i="74" s="1"/>
  <c r="O17" i="74" s="1"/>
  <c r="M51" i="73"/>
  <c r="N51" i="73" s="1"/>
  <c r="O51" i="73" s="1"/>
  <c r="L10" i="74"/>
  <c r="M10" i="74" s="1"/>
  <c r="N10" i="74" s="1"/>
  <c r="O10" i="74" s="1"/>
  <c r="L42" i="74"/>
  <c r="M42" i="74" s="1"/>
  <c r="N42" i="74" s="1"/>
  <c r="O42" i="74" s="1"/>
  <c r="L74" i="74"/>
  <c r="M74" i="74" s="1"/>
  <c r="N74" i="74" s="1"/>
  <c r="O74" i="74" s="1"/>
  <c r="L106" i="74"/>
  <c r="M106" i="74" s="1"/>
  <c r="N106" i="74" s="1"/>
  <c r="O106" i="74" s="1"/>
  <c r="L123" i="73"/>
  <c r="M123" i="73" s="1"/>
  <c r="N123" i="73" s="1"/>
  <c r="O123" i="73" s="1"/>
  <c r="C126" i="60" a="1"/>
  <c r="C126" i="60" s="1"/>
  <c r="L26" i="73"/>
  <c r="M26" i="73" s="1"/>
  <c r="N26" i="73" s="1"/>
  <c r="O26" i="73" s="1"/>
  <c r="L90" i="73"/>
  <c r="M90" i="73" s="1"/>
  <c r="N90" i="73" s="1"/>
  <c r="O90" i="73" s="1"/>
  <c r="M74" i="73"/>
  <c r="N74" i="73" s="1"/>
  <c r="O74" i="73" s="1"/>
  <c r="M8" i="73"/>
  <c r="N8" i="73" s="1"/>
  <c r="O8" i="73" s="1"/>
  <c r="M111" i="73"/>
  <c r="N111" i="73" s="1"/>
  <c r="O111" i="73" s="1"/>
  <c r="F279" i="60"/>
  <c r="H347" i="60"/>
  <c r="F364" i="60"/>
  <c r="F296" i="60"/>
  <c r="M66" i="73"/>
  <c r="N66" i="73" s="1"/>
  <c r="O66" i="73" s="1"/>
  <c r="L28" i="74"/>
  <c r="M28" i="74" s="1"/>
  <c r="N28" i="74" s="1"/>
  <c r="O28" i="74" s="1"/>
  <c r="L60" i="74"/>
  <c r="M60" i="74" s="1"/>
  <c r="N60" i="74" s="1"/>
  <c r="O60" i="74" s="1"/>
  <c r="L92" i="74"/>
  <c r="M92" i="74" s="1"/>
  <c r="N92" i="74" s="1"/>
  <c r="O92" i="74" s="1"/>
  <c r="L124" i="74"/>
  <c r="L82" i="73"/>
  <c r="M82" i="73" s="1"/>
  <c r="N82" i="73" s="1"/>
  <c r="O82" i="73" s="1"/>
  <c r="L137" i="73"/>
  <c r="L88" i="73"/>
  <c r="M88" i="73" s="1"/>
  <c r="N88" i="73" s="1"/>
  <c r="O88" i="73" s="1"/>
  <c r="L33" i="73"/>
  <c r="M33" i="73" s="1"/>
  <c r="N33" i="73" s="1"/>
  <c r="O33" i="73" s="1"/>
  <c r="L76" i="73"/>
  <c r="L98" i="73"/>
  <c r="M98" i="73" s="1"/>
  <c r="N98" i="73" s="1"/>
  <c r="O98" i="73" s="1"/>
  <c r="L131" i="73"/>
  <c r="M131" i="73" s="1"/>
  <c r="N131" i="73" s="1"/>
  <c r="O131" i="73" s="1"/>
  <c r="M35" i="73"/>
  <c r="N35" i="73" s="1"/>
  <c r="O35" i="73" s="1"/>
  <c r="L85" i="73"/>
  <c r="M85" i="73" s="1"/>
  <c r="N85" i="73" s="1"/>
  <c r="O85" i="73" s="1"/>
  <c r="L137" i="74"/>
  <c r="L80" i="74"/>
  <c r="M80" i="74" s="1"/>
  <c r="N80" i="74" s="1"/>
  <c r="O80" i="74" s="1"/>
  <c r="L57" i="74"/>
  <c r="M57" i="74" s="1"/>
  <c r="N57" i="74" s="1"/>
  <c r="O57" i="74" s="1"/>
  <c r="L89" i="74"/>
  <c r="M89" i="74" s="1"/>
  <c r="N89" i="74" s="1"/>
  <c r="O89" i="74" s="1"/>
  <c r="L146" i="74"/>
  <c r="M99" i="73"/>
  <c r="N99" i="73" s="1"/>
  <c r="O99" i="73" s="1"/>
  <c r="L28" i="73"/>
  <c r="M28" i="73" s="1"/>
  <c r="N28" i="73" s="1"/>
  <c r="O28" i="73" s="1"/>
  <c r="L60" i="73"/>
  <c r="M60" i="73" s="1"/>
  <c r="N60" i="73" s="1"/>
  <c r="O60" i="73" s="1"/>
  <c r="L124" i="73"/>
  <c r="M124" i="73" s="1"/>
  <c r="N124" i="73" s="1"/>
  <c r="O124" i="73" s="1"/>
  <c r="L18" i="73"/>
  <c r="M18" i="73" s="1"/>
  <c r="N18" i="73" s="1"/>
  <c r="O18" i="73" s="1"/>
  <c r="L50" i="73"/>
  <c r="M50" i="73" s="1"/>
  <c r="N50" i="73" s="1"/>
  <c r="O50" i="73" s="1"/>
  <c r="L114" i="73"/>
  <c r="M114" i="73" s="1"/>
  <c r="N114" i="73" s="1"/>
  <c r="O114" i="73" s="1"/>
  <c r="L24" i="73"/>
  <c r="M24" i="73" s="1"/>
  <c r="N24" i="73" s="1"/>
  <c r="O24" i="73" s="1"/>
  <c r="L56" i="73"/>
  <c r="M56" i="73" s="1"/>
  <c r="N56" i="73" s="1"/>
  <c r="O56" i="73" s="1"/>
  <c r="L120" i="73"/>
  <c r="L11" i="73"/>
  <c r="M11" i="73" s="1"/>
  <c r="N11" i="73" s="1"/>
  <c r="O11" i="73" s="1"/>
  <c r="L65" i="73"/>
  <c r="M65" i="73" s="1"/>
  <c r="N65" i="73" s="1"/>
  <c r="O65" i="73" s="1"/>
  <c r="L126" i="74"/>
  <c r="L47" i="74"/>
  <c r="M47" i="74" s="1"/>
  <c r="N47" i="74" s="1"/>
  <c r="O47" i="74" s="1"/>
  <c r="L79" i="74"/>
  <c r="M79" i="74" s="1"/>
  <c r="N79" i="74" s="1"/>
  <c r="O79" i="74" s="1"/>
  <c r="L111" i="74"/>
  <c r="M111" i="74" s="1"/>
  <c r="N111" i="74" s="1"/>
  <c r="O111" i="74" s="1"/>
  <c r="L4" i="74"/>
  <c r="M4" i="74" s="1"/>
  <c r="N4" i="74" s="1"/>
  <c r="O4" i="74" s="1"/>
  <c r="L36" i="74"/>
  <c r="M36" i="74" s="1"/>
  <c r="N36" i="74" s="1"/>
  <c r="O36" i="74" s="1"/>
  <c r="L68" i="74"/>
  <c r="M68" i="74" s="1"/>
  <c r="N68" i="74" s="1"/>
  <c r="O68" i="74" s="1"/>
  <c r="L100" i="74"/>
  <c r="M100" i="74" s="1"/>
  <c r="N100" i="74" s="1"/>
  <c r="O100" i="74" s="1"/>
  <c r="M106" i="73"/>
  <c r="N106" i="73" s="1"/>
  <c r="O106" i="73" s="1"/>
  <c r="M22" i="73"/>
  <c r="N22" i="73" s="1"/>
  <c r="O22" i="73" s="1"/>
  <c r="Q188" i="60"/>
  <c r="Q193" i="60"/>
  <c r="M72" i="73"/>
  <c r="N72" i="73" s="1"/>
  <c r="O72" i="73" s="1"/>
  <c r="M79" i="73"/>
  <c r="N79" i="73" s="1"/>
  <c r="O79" i="73" s="1"/>
  <c r="M73" i="73"/>
  <c r="N73" i="73" s="1"/>
  <c r="O73" i="73" s="1"/>
  <c r="M42" i="73"/>
  <c r="N42" i="73" s="1"/>
  <c r="O42" i="73" s="1"/>
  <c r="M89" i="73"/>
  <c r="N89" i="73" s="1"/>
  <c r="O89" i="73" s="1"/>
  <c r="M29" i="73"/>
  <c r="N29" i="73" s="1"/>
  <c r="O29" i="73" s="1"/>
  <c r="L142" i="74"/>
  <c r="L31" i="74"/>
  <c r="M31" i="74" s="1"/>
  <c r="N31" i="74" s="1"/>
  <c r="O31" i="74" s="1"/>
  <c r="L63" i="74"/>
  <c r="M63" i="74" s="1"/>
  <c r="N63" i="74" s="1"/>
  <c r="O63" i="74" s="1"/>
  <c r="L95" i="74"/>
  <c r="M95" i="74" s="1"/>
  <c r="N95" i="74" s="1"/>
  <c r="O95" i="74" s="1"/>
  <c r="L103" i="74"/>
  <c r="M103" i="74" s="1"/>
  <c r="N103" i="74" s="1"/>
  <c r="O103" i="74" s="1"/>
  <c r="L20" i="74"/>
  <c r="M20" i="74" s="1"/>
  <c r="N20" i="74" s="1"/>
  <c r="O20" i="74" s="1"/>
  <c r="L52" i="74"/>
  <c r="M52" i="74" s="1"/>
  <c r="N52" i="74" s="1"/>
  <c r="O52" i="74" s="1"/>
  <c r="L84" i="74"/>
  <c r="M84" i="74" s="1"/>
  <c r="N84" i="74" s="1"/>
  <c r="O84" i="74" s="1"/>
  <c r="L116" i="74"/>
  <c r="M116" i="74" s="1"/>
  <c r="N116" i="74" s="1"/>
  <c r="O116" i="74" s="1"/>
  <c r="L80" i="73"/>
  <c r="M80" i="73" s="1"/>
  <c r="N80" i="73" s="1"/>
  <c r="O80" i="73" s="1"/>
  <c r="L91" i="73"/>
  <c r="M91" i="73" s="1"/>
  <c r="N91" i="73" s="1"/>
  <c r="O91" i="73" s="1"/>
  <c r="L146" i="73"/>
  <c r="L103" i="73"/>
  <c r="M103" i="73" s="1"/>
  <c r="N103" i="73" s="1"/>
  <c r="O103" i="73" s="1"/>
  <c r="L20" i="73"/>
  <c r="M20" i="73" s="1"/>
  <c r="N20" i="73" s="1"/>
  <c r="O20" i="73" s="1"/>
  <c r="L52" i="73"/>
  <c r="M52" i="73" s="1"/>
  <c r="N52" i="73" s="1"/>
  <c r="O52" i="73" s="1"/>
  <c r="M38" i="74"/>
  <c r="N38" i="74" s="1"/>
  <c r="O38" i="74" s="1"/>
  <c r="M102" i="74"/>
  <c r="N102" i="74" s="1"/>
  <c r="O102" i="74" s="1"/>
  <c r="M91" i="74"/>
  <c r="N91" i="74" s="1"/>
  <c r="O91" i="74" s="1"/>
  <c r="L118" i="74"/>
  <c r="M118" i="74" s="1"/>
  <c r="N118" i="74" s="1"/>
  <c r="O118" i="74" s="1"/>
  <c r="L3" i="74"/>
  <c r="M3" i="74" s="1"/>
  <c r="N3" i="74" s="1"/>
  <c r="O3" i="74" s="1"/>
  <c r="L41" i="74"/>
  <c r="M41" i="74" s="1"/>
  <c r="N41" i="74" s="1"/>
  <c r="O41" i="74" s="1"/>
  <c r="L73" i="74"/>
  <c r="M73" i="74" s="1"/>
  <c r="N73" i="74" s="1"/>
  <c r="O73" i="74" s="1"/>
  <c r="L105" i="74"/>
  <c r="M105" i="74" s="1"/>
  <c r="N105" i="74" s="1"/>
  <c r="O105" i="74" s="1"/>
  <c r="L69" i="74"/>
  <c r="M69" i="74" s="1"/>
  <c r="N69" i="74" s="1"/>
  <c r="O69" i="74" s="1"/>
  <c r="L16" i="74"/>
  <c r="M16" i="74" s="1"/>
  <c r="N16" i="74" s="1"/>
  <c r="O16" i="74" s="1"/>
  <c r="L113" i="74"/>
  <c r="M113" i="74" s="1"/>
  <c r="N113" i="74" s="1"/>
  <c r="O113" i="74" s="1"/>
  <c r="L87" i="74"/>
  <c r="M87" i="74" s="1"/>
  <c r="N87" i="74" s="1"/>
  <c r="O87" i="74" s="1"/>
  <c r="L11" i="74"/>
  <c r="M11" i="74" s="1"/>
  <c r="N11" i="74" s="1"/>
  <c r="O11" i="74" s="1"/>
  <c r="L112" i="74"/>
  <c r="M112" i="74" s="1"/>
  <c r="N112" i="74" s="1"/>
  <c r="O112" i="74" s="1"/>
  <c r="L69" i="73"/>
  <c r="M69" i="73" s="1"/>
  <c r="N69" i="73" s="1"/>
  <c r="O69" i="73" s="1"/>
  <c r="L16" i="73"/>
  <c r="M16" i="73" s="1"/>
  <c r="N16" i="73" s="1"/>
  <c r="O16" i="73" s="1"/>
  <c r="L113" i="73"/>
  <c r="M113" i="73" s="1"/>
  <c r="N113" i="73" s="1"/>
  <c r="O113" i="73" s="1"/>
  <c r="L112" i="73"/>
  <c r="M112" i="73" s="1"/>
  <c r="N112" i="73" s="1"/>
  <c r="O112" i="73" s="1"/>
  <c r="M61" i="74"/>
  <c r="N61" i="74" s="1"/>
  <c r="O61" i="74" s="1"/>
  <c r="M5" i="74"/>
  <c r="N5" i="74" s="1"/>
  <c r="O5" i="74" s="1"/>
  <c r="L77" i="74"/>
  <c r="M77" i="74" s="1"/>
  <c r="N77" i="74" s="1"/>
  <c r="O77" i="74" s="1"/>
  <c r="M39" i="73"/>
  <c r="N39" i="73" s="1"/>
  <c r="O39" i="73" s="1"/>
  <c r="L115" i="74"/>
  <c r="M115" i="74" s="1"/>
  <c r="N115" i="74" s="1"/>
  <c r="O115" i="74" s="1"/>
  <c r="L35" i="74"/>
  <c r="M35" i="74" s="1"/>
  <c r="N35" i="74" s="1"/>
  <c r="O35" i="74" s="1"/>
  <c r="L67" i="74"/>
  <c r="M67" i="74" s="1"/>
  <c r="N67" i="74" s="1"/>
  <c r="O67" i="74" s="1"/>
  <c r="L99" i="74"/>
  <c r="L121" i="74"/>
  <c r="M121" i="74" s="1"/>
  <c r="N121" i="74" s="1"/>
  <c r="O121" i="74" s="1"/>
  <c r="L129" i="74"/>
  <c r="L14" i="74"/>
  <c r="M14" i="74" s="1"/>
  <c r="N14" i="74" s="1"/>
  <c r="O14" i="74" s="1"/>
  <c r="L46" i="74"/>
  <c r="M46" i="74" s="1"/>
  <c r="N46" i="74" s="1"/>
  <c r="O46" i="74" s="1"/>
  <c r="L78" i="74"/>
  <c r="M78" i="74" s="1"/>
  <c r="N78" i="74" s="1"/>
  <c r="O78" i="74" s="1"/>
  <c r="L110" i="74"/>
  <c r="M110" i="74" s="1"/>
  <c r="N110" i="74" s="1"/>
  <c r="O110" i="74" s="1"/>
  <c r="L144" i="74"/>
  <c r="L23" i="74"/>
  <c r="M23" i="74" s="1"/>
  <c r="N23" i="74" s="1"/>
  <c r="O23" i="74" s="1"/>
  <c r="M23" i="73"/>
  <c r="N23" i="73" s="1"/>
  <c r="O23" i="73" s="1"/>
  <c r="M83" i="73"/>
  <c r="N83" i="73" s="1"/>
  <c r="O83" i="73" s="1"/>
  <c r="M121" i="73"/>
  <c r="N121" i="73" s="1"/>
  <c r="O121" i="73" s="1"/>
  <c r="M58" i="73"/>
  <c r="N58" i="73" s="1"/>
  <c r="O58" i="73" s="1"/>
  <c r="L14" i="73"/>
  <c r="M14" i="73" s="1"/>
  <c r="N14" i="73" s="1"/>
  <c r="O14" i="73" s="1"/>
  <c r="L46" i="73"/>
  <c r="M46" i="73" s="1"/>
  <c r="N46" i="73" s="1"/>
  <c r="O46" i="73" s="1"/>
  <c r="L78" i="73"/>
  <c r="M78" i="73" s="1"/>
  <c r="N78" i="73" s="1"/>
  <c r="O78" i="73" s="1"/>
  <c r="L110" i="73"/>
  <c r="M110" i="73" s="1"/>
  <c r="N110" i="73" s="1"/>
  <c r="O110" i="73" s="1"/>
  <c r="L84" i="73"/>
  <c r="L116" i="73"/>
  <c r="M116" i="73" s="1"/>
  <c r="N116" i="73" s="1"/>
  <c r="O116" i="73" s="1"/>
  <c r="L144" i="73"/>
  <c r="L127" i="74"/>
  <c r="L9" i="74"/>
  <c r="M9" i="74" s="1"/>
  <c r="N9" i="74" s="1"/>
  <c r="O9" i="74" s="1"/>
  <c r="L18" i="74"/>
  <c r="M18" i="74" s="1"/>
  <c r="N18" i="74" s="1"/>
  <c r="O18" i="74" s="1"/>
  <c r="L50" i="74"/>
  <c r="M50" i="74" s="1"/>
  <c r="N50" i="74" s="1"/>
  <c r="O50" i="74" s="1"/>
  <c r="L82" i="74"/>
  <c r="M82" i="74" s="1"/>
  <c r="N82" i="74" s="1"/>
  <c r="O82" i="74" s="1"/>
  <c r="L114" i="74"/>
  <c r="M114" i="74" s="1"/>
  <c r="N114" i="74" s="1"/>
  <c r="O114" i="74" s="1"/>
  <c r="L24" i="74"/>
  <c r="M24" i="74" s="1"/>
  <c r="N24" i="74" s="1"/>
  <c r="O24" i="74" s="1"/>
  <c r="L56" i="74"/>
  <c r="M56" i="74" s="1"/>
  <c r="N56" i="74" s="1"/>
  <c r="O56" i="74" s="1"/>
  <c r="L88" i="74"/>
  <c r="M88" i="74" s="1"/>
  <c r="N88" i="74" s="1"/>
  <c r="O88" i="74" s="1"/>
  <c r="L120" i="74"/>
  <c r="M120" i="74" s="1"/>
  <c r="N120" i="74" s="1"/>
  <c r="O120" i="74" s="1"/>
  <c r="L145" i="74"/>
  <c r="L37" i="74"/>
  <c r="L101" i="74"/>
  <c r="M101" i="74" s="1"/>
  <c r="N101" i="74" s="1"/>
  <c r="O101" i="74" s="1"/>
  <c r="L141" i="74"/>
  <c r="L43" i="74"/>
  <c r="M43" i="74" s="1"/>
  <c r="N43" i="74" s="1"/>
  <c r="O43" i="74" s="1"/>
  <c r="L33" i="74"/>
  <c r="M33" i="74" s="1"/>
  <c r="N33" i="74" s="1"/>
  <c r="O33" i="74" s="1"/>
  <c r="L65" i="74"/>
  <c r="M65" i="74" s="1"/>
  <c r="N65" i="74" s="1"/>
  <c r="O65" i="74" s="1"/>
  <c r="L13" i="74"/>
  <c r="M13" i="74" s="1"/>
  <c r="N13" i="74" s="1"/>
  <c r="O13" i="74" s="1"/>
  <c r="L127" i="73"/>
  <c r="M127" i="73" s="1"/>
  <c r="N127" i="73" s="1"/>
  <c r="O127" i="73" s="1"/>
  <c r="L9" i="73"/>
  <c r="M9" i="73" s="1"/>
  <c r="N9" i="73" s="1"/>
  <c r="O9" i="73" s="1"/>
  <c r="L37" i="73"/>
  <c r="M37" i="73" s="1"/>
  <c r="N37" i="73" s="1"/>
  <c r="O37" i="73" s="1"/>
  <c r="L101" i="73"/>
  <c r="M101" i="73" s="1"/>
  <c r="N101" i="73" s="1"/>
  <c r="O101" i="73" s="1"/>
  <c r="L141" i="73"/>
  <c r="L43" i="73"/>
  <c r="L13" i="73"/>
  <c r="M13" i="73" s="1"/>
  <c r="N13" i="73" s="1"/>
  <c r="O13" i="73" s="1"/>
  <c r="L135" i="74"/>
  <c r="L132" i="74"/>
  <c r="L51" i="74"/>
  <c r="L83" i="74"/>
  <c r="M83" i="74" s="1"/>
  <c r="N83" i="74" s="1"/>
  <c r="O83" i="74" s="1"/>
  <c r="L133" i="74"/>
  <c r="L30" i="74"/>
  <c r="M30" i="74" s="1"/>
  <c r="N30" i="74" s="1"/>
  <c r="O30" i="74" s="1"/>
  <c r="L62" i="74"/>
  <c r="M62" i="74" s="1"/>
  <c r="N62" i="74" s="1"/>
  <c r="O62" i="74" s="1"/>
  <c r="L94" i="74"/>
  <c r="M94" i="74" s="1"/>
  <c r="N94" i="74" s="1"/>
  <c r="O94" i="74" s="1"/>
  <c r="L128" i="74"/>
  <c r="L26" i="74"/>
  <c r="M26" i="74" s="1"/>
  <c r="N26" i="74" s="1"/>
  <c r="O26" i="74" s="1"/>
  <c r="L58" i="74"/>
  <c r="M58" i="74" s="1"/>
  <c r="N58" i="74" s="1"/>
  <c r="O58" i="74" s="1"/>
  <c r="L90" i="74"/>
  <c r="M90" i="74" s="1"/>
  <c r="N90" i="74" s="1"/>
  <c r="O90" i="74" s="1"/>
  <c r="L122" i="74"/>
  <c r="M122" i="74" s="1"/>
  <c r="N122" i="74" s="1"/>
  <c r="O122" i="74" s="1"/>
  <c r="L7" i="74"/>
  <c r="L55" i="74"/>
  <c r="M55" i="74" s="1"/>
  <c r="N55" i="74" s="1"/>
  <c r="O55" i="74" s="1"/>
  <c r="M38" i="73"/>
  <c r="N38" i="73" s="1"/>
  <c r="O38" i="73" s="1"/>
  <c r="M45" i="73"/>
  <c r="N45" i="73" s="1"/>
  <c r="O45" i="73" s="1"/>
  <c r="M109" i="73"/>
  <c r="N109" i="73" s="1"/>
  <c r="O109" i="73" s="1"/>
  <c r="L3" i="73"/>
  <c r="L135" i="73"/>
  <c r="L133" i="73"/>
  <c r="D162" i="73" s="1"/>
  <c r="L30" i="73"/>
  <c r="M30" i="73" s="1"/>
  <c r="N30" i="73" s="1"/>
  <c r="O30" i="73" s="1"/>
  <c r="L62" i="73"/>
  <c r="M62" i="73" s="1"/>
  <c r="N62" i="73" s="1"/>
  <c r="O62" i="73" s="1"/>
  <c r="L94" i="73"/>
  <c r="M94" i="73" s="1"/>
  <c r="N94" i="73" s="1"/>
  <c r="O94" i="73" s="1"/>
  <c r="L4" i="73"/>
  <c r="M4" i="73" s="1"/>
  <c r="N4" i="73" s="1"/>
  <c r="O4" i="73" s="1"/>
  <c r="L36" i="73"/>
  <c r="M36" i="73" s="1"/>
  <c r="N36" i="73" s="1"/>
  <c r="O36" i="73" s="1"/>
  <c r="L68" i="73"/>
  <c r="M68" i="73" s="1"/>
  <c r="N68" i="73" s="1"/>
  <c r="O68" i="73" s="1"/>
  <c r="L100" i="73"/>
  <c r="M100" i="73" s="1"/>
  <c r="N100" i="73" s="1"/>
  <c r="O100" i="73" s="1"/>
  <c r="L128" i="73"/>
  <c r="M128" i="73" s="1"/>
  <c r="N128" i="73" s="1"/>
  <c r="O128" i="73" s="1"/>
  <c r="L55" i="73"/>
  <c r="M55" i="73" s="1"/>
  <c r="N55" i="73" s="1"/>
  <c r="O55" i="73" s="1"/>
  <c r="M54" i="74"/>
  <c r="N54" i="74" s="1"/>
  <c r="O54" i="74" s="1"/>
  <c r="L45" i="74"/>
  <c r="M45" i="74" s="1"/>
  <c r="N45" i="74" s="1"/>
  <c r="O45" i="74" s="1"/>
  <c r="L109" i="74"/>
  <c r="M109" i="74" s="1"/>
  <c r="N109" i="74" s="1"/>
  <c r="O109" i="74" s="1"/>
  <c r="L107" i="74"/>
  <c r="M107" i="74" s="1"/>
  <c r="N107" i="74" s="1"/>
  <c r="O107" i="74" s="1"/>
  <c r="L12" i="74"/>
  <c r="M12" i="74" s="1"/>
  <c r="N12" i="74" s="1"/>
  <c r="O12" i="74" s="1"/>
  <c r="L44" i="74"/>
  <c r="M44" i="74" s="1"/>
  <c r="N44" i="74" s="1"/>
  <c r="O44" i="74" s="1"/>
  <c r="L76" i="74"/>
  <c r="M76" i="74" s="1"/>
  <c r="N76" i="74" s="1"/>
  <c r="O76" i="74" s="1"/>
  <c r="L108" i="74"/>
  <c r="M108" i="74" s="1"/>
  <c r="N108" i="74" s="1"/>
  <c r="O108" i="74" s="1"/>
  <c r="L140" i="74"/>
  <c r="L25" i="74"/>
  <c r="M25" i="74" s="1"/>
  <c r="N25" i="74" s="1"/>
  <c r="O25" i="74" s="1"/>
  <c r="L143" i="74"/>
  <c r="L119" i="74"/>
  <c r="M119" i="74" s="1"/>
  <c r="N119" i="74" s="1"/>
  <c r="O119" i="74" s="1"/>
  <c r="L34" i="74"/>
  <c r="M34" i="74" s="1"/>
  <c r="N34" i="74" s="1"/>
  <c r="O34" i="74" s="1"/>
  <c r="L66" i="74"/>
  <c r="M66" i="74" s="1"/>
  <c r="N66" i="74" s="1"/>
  <c r="O66" i="74" s="1"/>
  <c r="L98" i="74"/>
  <c r="M98" i="74" s="1"/>
  <c r="N98" i="74" s="1"/>
  <c r="O98" i="74" s="1"/>
  <c r="L15" i="74"/>
  <c r="M15" i="74" s="1"/>
  <c r="N15" i="74" s="1"/>
  <c r="O15" i="74" s="1"/>
  <c r="L8" i="74"/>
  <c r="M8" i="74" s="1"/>
  <c r="N8" i="74" s="1"/>
  <c r="O8" i="74" s="1"/>
  <c r="L40" i="74"/>
  <c r="M40" i="74" s="1"/>
  <c r="N40" i="74" s="1"/>
  <c r="O40" i="74" s="1"/>
  <c r="L72" i="74"/>
  <c r="M72" i="74" s="1"/>
  <c r="N72" i="74" s="1"/>
  <c r="O72" i="74" s="1"/>
  <c r="L104" i="74"/>
  <c r="M104" i="74" s="1"/>
  <c r="N104" i="74" s="1"/>
  <c r="O104" i="74" s="1"/>
  <c r="L134" i="74"/>
  <c r="L117" i="74"/>
  <c r="M117" i="74" s="1"/>
  <c r="N117" i="74" s="1"/>
  <c r="O117" i="74" s="1"/>
  <c r="L53" i="74"/>
  <c r="M53" i="74" s="1"/>
  <c r="N53" i="74" s="1"/>
  <c r="O53" i="74" s="1"/>
  <c r="L139" i="74"/>
  <c r="L136" i="74"/>
  <c r="L59" i="74"/>
  <c r="M59" i="74" s="1"/>
  <c r="N59" i="74" s="1"/>
  <c r="O59" i="74" s="1"/>
  <c r="L125" i="74"/>
  <c r="L49" i="74"/>
  <c r="M49" i="74" s="1"/>
  <c r="N49" i="74" s="1"/>
  <c r="O49" i="74" s="1"/>
  <c r="L81" i="74"/>
  <c r="M81" i="74" s="1"/>
  <c r="N81" i="74" s="1"/>
  <c r="O81" i="74" s="1"/>
  <c r="L48" i="74"/>
  <c r="M48" i="74" s="1"/>
  <c r="N48" i="74" s="1"/>
  <c r="O48" i="74" s="1"/>
  <c r="M118" i="73"/>
  <c r="N118" i="73" s="1"/>
  <c r="O118" i="73" s="1"/>
  <c r="M61" i="73"/>
  <c r="N61" i="73" s="1"/>
  <c r="O61" i="73" s="1"/>
  <c r="M10" i="73"/>
  <c r="N10" i="73" s="1"/>
  <c r="O10" i="73" s="1"/>
  <c r="M41" i="73"/>
  <c r="N41" i="73" s="1"/>
  <c r="O41" i="73" s="1"/>
  <c r="M105" i="73"/>
  <c r="N105" i="73" s="1"/>
  <c r="O105" i="73" s="1"/>
  <c r="M104" i="73"/>
  <c r="N104" i="73" s="1"/>
  <c r="O104" i="73" s="1"/>
  <c r="M47" i="73"/>
  <c r="N47" i="73" s="1"/>
  <c r="O47" i="73" s="1"/>
  <c r="L107" i="73"/>
  <c r="M107" i="73" s="1"/>
  <c r="N107" i="73" s="1"/>
  <c r="O107" i="73" s="1"/>
  <c r="L25" i="73"/>
  <c r="M25" i="73" s="1"/>
  <c r="N25" i="73" s="1"/>
  <c r="O25" i="73" s="1"/>
  <c r="L143" i="73"/>
  <c r="L119" i="73"/>
  <c r="M119" i="73" s="1"/>
  <c r="N119" i="73" s="1"/>
  <c r="O119" i="73" s="1"/>
  <c r="L15" i="73"/>
  <c r="L117" i="73"/>
  <c r="M117" i="73" s="1"/>
  <c r="N117" i="73" s="1"/>
  <c r="O117" i="73" s="1"/>
  <c r="L53" i="73"/>
  <c r="M53" i="73" s="1"/>
  <c r="N53" i="73" s="1"/>
  <c r="O53" i="73" s="1"/>
  <c r="L139" i="73"/>
  <c r="L136" i="73"/>
  <c r="L59" i="73"/>
  <c r="M59" i="73" s="1"/>
  <c r="N59" i="73" s="1"/>
  <c r="O59" i="73" s="1"/>
  <c r="L125" i="73"/>
  <c r="M125" i="73" s="1"/>
  <c r="N125" i="73" s="1"/>
  <c r="O125" i="73" s="1"/>
  <c r="L48" i="73"/>
  <c r="M48" i="73" s="1"/>
  <c r="N48" i="73" s="1"/>
  <c r="O48" i="73" s="1"/>
  <c r="Q194" i="60"/>
  <c r="M34" i="73"/>
  <c r="N34" i="73" s="1"/>
  <c r="O34" i="73" s="1"/>
  <c r="Q195" i="60"/>
  <c r="M5" i="73"/>
  <c r="N5" i="73" s="1"/>
  <c r="O5" i="73" s="1"/>
  <c r="D161" i="73"/>
  <c r="K4" i="11" s="1"/>
  <c r="Q189" i="60"/>
  <c r="D156" i="73"/>
  <c r="F4" i="11" s="1"/>
  <c r="D160" i="73"/>
  <c r="B11" i="9" s="1"/>
  <c r="M95" i="73"/>
  <c r="N95" i="73" s="1"/>
  <c r="O95" i="73" s="1"/>
  <c r="M102" i="73"/>
  <c r="N102" i="73" s="1"/>
  <c r="O102" i="73" s="1"/>
  <c r="M115" i="73"/>
  <c r="N115" i="73" s="1"/>
  <c r="O115" i="73" s="1"/>
  <c r="M27" i="73"/>
  <c r="N27" i="73" s="1"/>
  <c r="O27" i="73" s="1"/>
  <c r="M31" i="73"/>
  <c r="N31" i="73" s="1"/>
  <c r="O31" i="73" s="1"/>
  <c r="M81" i="73"/>
  <c r="N81" i="73" s="1"/>
  <c r="O81" i="73" s="1"/>
  <c r="D152" i="73"/>
  <c r="D158" i="73"/>
  <c r="B9" i="9" s="1"/>
  <c r="Q190" i="60"/>
  <c r="D157" i="73"/>
  <c r="G4" i="11" s="1"/>
  <c r="D154" i="73"/>
  <c r="D4" i="11" s="1"/>
  <c r="Q187" i="60"/>
  <c r="D155" i="73"/>
  <c r="B6" i="9" s="1"/>
  <c r="M77" i="73"/>
  <c r="N77" i="73" s="1"/>
  <c r="O77" i="73" s="1"/>
  <c r="M57" i="73"/>
  <c r="N57" i="73" s="1"/>
  <c r="O57" i="73" s="1"/>
  <c r="M49" i="73"/>
  <c r="N49" i="73" s="1"/>
  <c r="O49" i="73" s="1"/>
  <c r="M87" i="73"/>
  <c r="N87" i="73" s="1"/>
  <c r="O87" i="73" s="1"/>
  <c r="Q191" i="60"/>
  <c r="D159" i="73"/>
  <c r="B10" i="9" s="1"/>
  <c r="D153" i="73"/>
  <c r="B4" i="9" s="1"/>
  <c r="N4" i="9" s="1"/>
  <c r="M63" i="73"/>
  <c r="N63" i="73" s="1"/>
  <c r="O63" i="73" s="1"/>
  <c r="M76" i="73"/>
  <c r="N76" i="73" s="1"/>
  <c r="O76" i="73" s="1"/>
  <c r="Q192" i="60"/>
  <c r="M21" i="73"/>
  <c r="N21" i="73" s="1"/>
  <c r="O21" i="73" s="1"/>
  <c r="Q196" i="60"/>
  <c r="M40" i="73"/>
  <c r="N40" i="73" s="1"/>
  <c r="O40" i="73" s="1"/>
  <c r="M122" i="73"/>
  <c r="N122" i="73" s="1"/>
  <c r="O122" i="73" s="1"/>
  <c r="M7" i="73"/>
  <c r="N7" i="73" s="1"/>
  <c r="O7" i="73" s="1"/>
  <c r="D159" i="74"/>
  <c r="C644" i="60" s="1"/>
  <c r="D157" i="74"/>
  <c r="C642" i="60" s="1"/>
  <c r="D155" i="74"/>
  <c r="C640" i="60" s="1"/>
  <c r="M39" i="74"/>
  <c r="N39" i="74" s="1"/>
  <c r="O39" i="74" s="1"/>
  <c r="D156" i="74"/>
  <c r="C641" i="60" s="1"/>
  <c r="D154" i="74"/>
  <c r="C639" i="60" s="1"/>
  <c r="D152" i="74"/>
  <c r="D161" i="74"/>
  <c r="C646" i="60" s="1"/>
  <c r="D160" i="74"/>
  <c r="C645" i="60" s="1"/>
  <c r="M99" i="74"/>
  <c r="N99" i="74" s="1"/>
  <c r="O99" i="74" s="1"/>
  <c r="D153" i="74"/>
  <c r="C638" i="60" s="1"/>
  <c r="D158" i="74"/>
  <c r="C643" i="60" s="1"/>
  <c r="M75" i="74"/>
  <c r="N75" i="74" s="1"/>
  <c r="O75" i="74" s="1"/>
  <c r="M6" i="73"/>
  <c r="N6" i="73" s="1"/>
  <c r="O6" i="73" s="1"/>
  <c r="L31" i="60"/>
  <c r="M31" i="60"/>
  <c r="J30" i="60"/>
  <c r="C30" i="60"/>
  <c r="K30" i="60"/>
  <c r="E30" i="60"/>
  <c r="D30" i="60"/>
  <c r="H30" i="60"/>
  <c r="G328" i="60" s="1"/>
  <c r="H329" i="60" s="1"/>
  <c r="F30" i="60"/>
  <c r="G30" i="60"/>
  <c r="I30" i="60"/>
  <c r="D76" i="60"/>
  <c r="L76" i="60"/>
  <c r="B29" i="60"/>
  <c r="E76" i="60"/>
  <c r="I76" i="60"/>
  <c r="K76" i="60"/>
  <c r="J76" i="60"/>
  <c r="H76" i="60"/>
  <c r="G76" i="60"/>
  <c r="M76" i="60"/>
  <c r="N76" i="60"/>
  <c r="F76" i="60"/>
  <c r="B75" i="60"/>
  <c r="F13" i="9" l="1"/>
  <c r="N13" i="9"/>
  <c r="M120" i="73"/>
  <c r="N120" i="73" s="1"/>
  <c r="O120" i="73" s="1"/>
  <c r="C13" i="9"/>
  <c r="D13" i="9" s="1"/>
  <c r="E13" i="9" s="1"/>
  <c r="D162" i="74"/>
  <c r="C637" i="60"/>
  <c r="D165" i="74"/>
  <c r="B3" i="9"/>
  <c r="F3" i="9" s="1"/>
  <c r="D165" i="73"/>
  <c r="B5" i="9"/>
  <c r="C81" i="60" a="1"/>
  <c r="C81" i="60" s="1"/>
  <c r="L155" i="73"/>
  <c r="E5" i="11" s="1"/>
  <c r="C82" i="60" a="1"/>
  <c r="C82" i="60" s="1"/>
  <c r="L150" i="73"/>
  <c r="L154" i="73"/>
  <c r="D5" i="11" s="1"/>
  <c r="M43" i="73"/>
  <c r="N43" i="73" s="1"/>
  <c r="O43" i="73" s="1"/>
  <c r="L162" i="74"/>
  <c r="E408" i="60"/>
  <c r="G311" i="60"/>
  <c r="E405" i="60"/>
  <c r="E402" i="60"/>
  <c r="E294" i="60"/>
  <c r="E328" i="60"/>
  <c r="E407" i="60"/>
  <c r="E404" i="60"/>
  <c r="E311" i="60"/>
  <c r="F312" i="60" s="1"/>
  <c r="E413" i="60"/>
  <c r="E362" i="60"/>
  <c r="F363" i="60" s="1"/>
  <c r="E400" i="60"/>
  <c r="E277" i="60"/>
  <c r="E345" i="60"/>
  <c r="F346" i="60" s="1"/>
  <c r="E410" i="60"/>
  <c r="E411" i="60"/>
  <c r="G345" i="60"/>
  <c r="R188" i="60"/>
  <c r="R194" i="60"/>
  <c r="R196" i="60"/>
  <c r="R191" i="60"/>
  <c r="R193" i="60"/>
  <c r="R189" i="60"/>
  <c r="R195" i="60"/>
  <c r="R192" i="60"/>
  <c r="R190" i="60"/>
  <c r="L154" i="74"/>
  <c r="F639" i="60" s="1"/>
  <c r="L162" i="73"/>
  <c r="C14" i="9" s="1"/>
  <c r="L157" i="73"/>
  <c r="G5" i="11" s="1"/>
  <c r="L152" i="74"/>
  <c r="F637" i="60" s="1"/>
  <c r="L156" i="74"/>
  <c r="F641" i="60" s="1"/>
  <c r="S190" i="60"/>
  <c r="U190" i="60" s="1"/>
  <c r="L158" i="73"/>
  <c r="L160" i="73"/>
  <c r="J5" i="11" s="1"/>
  <c r="L163" i="73"/>
  <c r="S193" i="60"/>
  <c r="M3" i="73"/>
  <c r="N3" i="73" s="1"/>
  <c r="O3" i="73" s="1"/>
  <c r="B7" i="9"/>
  <c r="L152" i="73"/>
  <c r="M37" i="74"/>
  <c r="N37" i="74" s="1"/>
  <c r="O37" i="74" s="1"/>
  <c r="B8" i="9"/>
  <c r="B12" i="9"/>
  <c r="M84" i="73"/>
  <c r="N84" i="73" s="1"/>
  <c r="O84" i="73" s="1"/>
  <c r="L163" i="74"/>
  <c r="F648" i="60" s="1"/>
  <c r="L160" i="74"/>
  <c r="S196" i="60"/>
  <c r="L161" i="74"/>
  <c r="F646" i="60" s="1"/>
  <c r="L153" i="73"/>
  <c r="L150" i="74"/>
  <c r="S189" i="60"/>
  <c r="L155" i="74"/>
  <c r="S191" i="60"/>
  <c r="L157" i="74"/>
  <c r="F642" i="60" s="1"/>
  <c r="S195" i="60"/>
  <c r="U195" i="60" s="1"/>
  <c r="L156" i="73"/>
  <c r="M7" i="74"/>
  <c r="N7" i="74" s="1"/>
  <c r="O7" i="74" s="1"/>
  <c r="L161" i="73"/>
  <c r="C12" i="9" s="1"/>
  <c r="L159" i="73"/>
  <c r="D644" i="60" s="1"/>
  <c r="E644" i="60" s="1"/>
  <c r="S194" i="60"/>
  <c r="L158" i="74"/>
  <c r="S187" i="60"/>
  <c r="U187" i="60" s="1"/>
  <c r="L153" i="74"/>
  <c r="F638" i="60" s="1"/>
  <c r="L159" i="74"/>
  <c r="F644" i="60" s="1"/>
  <c r="S192" i="60"/>
  <c r="U192" i="60" s="1"/>
  <c r="M51" i="74"/>
  <c r="N51" i="74" s="1"/>
  <c r="O51" i="74" s="1"/>
  <c r="S188" i="60"/>
  <c r="M15" i="73"/>
  <c r="N15" i="73" s="1"/>
  <c r="O15" i="73" s="1"/>
  <c r="J4" i="11"/>
  <c r="B4" i="11"/>
  <c r="C4" i="11"/>
  <c r="H4" i="11"/>
  <c r="E4" i="11"/>
  <c r="I4" i="11"/>
  <c r="F4" i="9"/>
  <c r="L30" i="60"/>
  <c r="M30" i="60"/>
  <c r="E29" i="60"/>
  <c r="E310" i="60" s="1"/>
  <c r="D29" i="60"/>
  <c r="E293" i="60" s="1"/>
  <c r="J29" i="60"/>
  <c r="G344" i="60" s="1"/>
  <c r="H29" i="60"/>
  <c r="G327" i="60" s="1"/>
  <c r="H328" i="60" s="1"/>
  <c r="K29" i="60"/>
  <c r="E361" i="60" s="1"/>
  <c r="F362" i="60" s="1"/>
  <c r="C29" i="60"/>
  <c r="E276" i="60" s="1"/>
  <c r="G29" i="60"/>
  <c r="E327" i="60" s="1"/>
  <c r="I29" i="60"/>
  <c r="E344" i="60" s="1"/>
  <c r="F29" i="60"/>
  <c r="G310" i="60" s="1"/>
  <c r="L75" i="60"/>
  <c r="N75" i="60"/>
  <c r="H75" i="60"/>
  <c r="D75" i="60"/>
  <c r="J75" i="60"/>
  <c r="K75" i="60"/>
  <c r="I75" i="60"/>
  <c r="M75" i="60"/>
  <c r="F75" i="60"/>
  <c r="G75" i="60"/>
  <c r="E75" i="60"/>
  <c r="C75" i="60"/>
  <c r="B74" i="60"/>
  <c r="N3" i="9" l="1"/>
  <c r="O132" i="73"/>
  <c r="F647" i="60"/>
  <c r="L165" i="74"/>
  <c r="L165" i="73"/>
  <c r="M165" i="73" s="1"/>
  <c r="C8" i="9"/>
  <c r="L5" i="11"/>
  <c r="C5" i="9"/>
  <c r="M157" i="74"/>
  <c r="N157" i="74" s="1"/>
  <c r="Q426" i="60" s="1"/>
  <c r="K509" i="60" s="1"/>
  <c r="D642" i="60"/>
  <c r="E642" i="60" s="1"/>
  <c r="M161" i="74"/>
  <c r="N161" i="74" s="1"/>
  <c r="Q430" i="60" s="1"/>
  <c r="D646" i="60"/>
  <c r="E646" i="60" s="1"/>
  <c r="M163" i="74"/>
  <c r="N163" i="74" s="1"/>
  <c r="Q432" i="60" s="1"/>
  <c r="D648" i="60"/>
  <c r="G648" i="60" s="1"/>
  <c r="M162" i="74"/>
  <c r="N162" i="74" s="1"/>
  <c r="Q431" i="60" s="1"/>
  <c r="D647" i="60"/>
  <c r="F640" i="60"/>
  <c r="M160" i="74"/>
  <c r="N160" i="74" s="1"/>
  <c r="Q429" i="60" s="1"/>
  <c r="D645" i="60"/>
  <c r="E645" i="60" s="1"/>
  <c r="M155" i="74"/>
  <c r="N155" i="74" s="1"/>
  <c r="Q424" i="60" s="1"/>
  <c r="K473" i="60" s="1"/>
  <c r="D640" i="60"/>
  <c r="E640" i="60" s="1"/>
  <c r="G644" i="60"/>
  <c r="M156" i="74"/>
  <c r="N156" i="74" s="1"/>
  <c r="Q425" i="60" s="1"/>
  <c r="K491" i="60" s="1"/>
  <c r="D641" i="60"/>
  <c r="M153" i="74"/>
  <c r="N153" i="74" s="1"/>
  <c r="D638" i="60"/>
  <c r="E638" i="60" s="1"/>
  <c r="M158" i="74"/>
  <c r="N158" i="74" s="1"/>
  <c r="Q427" i="60" s="1"/>
  <c r="D643" i="60"/>
  <c r="E643" i="60" s="1"/>
  <c r="F645" i="60"/>
  <c r="M154" i="74"/>
  <c r="N154" i="74" s="1"/>
  <c r="Q423" i="60" s="1"/>
  <c r="K455" i="60" s="1"/>
  <c r="D639" i="60"/>
  <c r="E639" i="60" s="1"/>
  <c r="C6" i="9"/>
  <c r="M152" i="74"/>
  <c r="N152" i="74" s="1"/>
  <c r="Q421" i="60" s="1"/>
  <c r="D637" i="60"/>
  <c r="E637" i="60" s="1"/>
  <c r="F643" i="60"/>
  <c r="T191" i="60"/>
  <c r="T196" i="60"/>
  <c r="T188" i="60"/>
  <c r="F311" i="60"/>
  <c r="K5" i="11"/>
  <c r="K6" i="11" s="1"/>
  <c r="F345" i="60"/>
  <c r="F328" i="60"/>
  <c r="F329" i="60"/>
  <c r="F277" i="60"/>
  <c r="F278" i="60"/>
  <c r="F294" i="60"/>
  <c r="F295" i="60"/>
  <c r="F410" i="60"/>
  <c r="G410" i="60"/>
  <c r="G407" i="60"/>
  <c r="F407" i="60"/>
  <c r="F400" i="60"/>
  <c r="G400" i="60"/>
  <c r="G402" i="60"/>
  <c r="F402" i="60"/>
  <c r="G413" i="60"/>
  <c r="F413" i="60"/>
  <c r="E416" i="60"/>
  <c r="F405" i="60"/>
  <c r="G405" i="60"/>
  <c r="H345" i="60"/>
  <c r="H346" i="60"/>
  <c r="H311" i="60"/>
  <c r="H312" i="60"/>
  <c r="T194" i="60"/>
  <c r="G411" i="60"/>
  <c r="F411" i="60"/>
  <c r="F404" i="60"/>
  <c r="G404" i="60"/>
  <c r="G408" i="60"/>
  <c r="F408" i="60"/>
  <c r="T193" i="60"/>
  <c r="U196" i="60"/>
  <c r="T189" i="60"/>
  <c r="T192" i="60"/>
  <c r="U189" i="60"/>
  <c r="U194" i="60"/>
  <c r="T195" i="60"/>
  <c r="U188" i="60"/>
  <c r="U193" i="60"/>
  <c r="T190" i="60"/>
  <c r="U191" i="60"/>
  <c r="H5" i="11"/>
  <c r="C9" i="9"/>
  <c r="M165" i="74"/>
  <c r="L167" i="74"/>
  <c r="M167" i="74" s="1"/>
  <c r="L167" i="73"/>
  <c r="M167" i="73" s="1"/>
  <c r="C11" i="9"/>
  <c r="B5" i="11"/>
  <c r="M5" i="11"/>
  <c r="C3" i="9"/>
  <c r="D3" i="9" s="1"/>
  <c r="E3" i="9" s="1"/>
  <c r="C15" i="9"/>
  <c r="C4" i="9"/>
  <c r="D4" i="9" s="1"/>
  <c r="E4" i="9" s="1"/>
  <c r="C5" i="11"/>
  <c r="C7" i="9"/>
  <c r="F5" i="11"/>
  <c r="O123" i="74"/>
  <c r="M159" i="74"/>
  <c r="N159" i="74" s="1"/>
  <c r="Q428" i="60" s="1"/>
  <c r="I5" i="11"/>
  <c r="C10" i="9"/>
  <c r="J6" i="11"/>
  <c r="L29" i="60"/>
  <c r="M29" i="60"/>
  <c r="J74" i="60"/>
  <c r="D74" i="60"/>
  <c r="L74" i="60"/>
  <c r="H74" i="60"/>
  <c r="G74" i="60"/>
  <c r="E74" i="60"/>
  <c r="I74" i="60"/>
  <c r="N74" i="60"/>
  <c r="F74" i="60"/>
  <c r="C74" i="60"/>
  <c r="M74" i="60"/>
  <c r="K74" i="60"/>
  <c r="B73" i="60"/>
  <c r="G647" i="60" l="1"/>
  <c r="G639" i="60"/>
  <c r="G638" i="60"/>
  <c r="G642" i="60"/>
  <c r="G640" i="60"/>
  <c r="G643" i="60"/>
  <c r="G641" i="60"/>
  <c r="E641" i="60"/>
  <c r="G637" i="60"/>
  <c r="G645" i="60"/>
  <c r="G646" i="60"/>
  <c r="D428" i="60" a="1"/>
  <c r="Q422" i="60"/>
  <c r="G416" i="60"/>
  <c r="F416" i="60"/>
  <c r="F73" i="60"/>
  <c r="H73" i="60"/>
  <c r="J73" i="60"/>
  <c r="N73" i="60"/>
  <c r="C73" i="60"/>
  <c r="E73" i="60"/>
  <c r="D73" i="60"/>
  <c r="M73" i="60"/>
  <c r="I73" i="60"/>
  <c r="G73" i="60"/>
  <c r="K73" i="60"/>
  <c r="L73" i="60"/>
  <c r="B72" i="60"/>
  <c r="D428" i="60" l="1"/>
  <c r="K437" i="60" s="1"/>
  <c r="K581" i="60"/>
  <c r="K527" i="60"/>
  <c r="K563" i="60"/>
  <c r="K545" i="60"/>
  <c r="L72" i="60"/>
  <c r="D72" i="60"/>
  <c r="H72" i="60"/>
  <c r="J72" i="60"/>
  <c r="F72" i="60"/>
  <c r="M72" i="60"/>
  <c r="G72" i="60"/>
  <c r="N72" i="60"/>
  <c r="K72" i="60"/>
  <c r="I72" i="60"/>
  <c r="E72" i="60"/>
  <c r="C72" i="60"/>
  <c r="B71" i="60"/>
  <c r="H445" i="60" l="1"/>
  <c r="L445" i="60" s="1"/>
  <c r="H441" i="60"/>
  <c r="L441" i="60" s="1"/>
  <c r="H440" i="60"/>
  <c r="L440" i="60" s="1"/>
  <c r="N71" i="60"/>
  <c r="H71" i="60"/>
  <c r="L71" i="60"/>
  <c r="K71" i="60"/>
  <c r="I71" i="60"/>
  <c r="M71" i="60"/>
  <c r="G71" i="60"/>
  <c r="E71" i="60"/>
  <c r="F71" i="60"/>
  <c r="D71" i="60"/>
  <c r="J71" i="60"/>
  <c r="C71" i="60"/>
  <c r="B70" i="60"/>
  <c r="L70" i="60" l="1"/>
  <c r="L80" i="60" s="1"/>
  <c r="N70" i="60"/>
  <c r="N80" i="60" s="1"/>
  <c r="D70" i="60"/>
  <c r="F70" i="60"/>
  <c r="F80" i="60" s="1"/>
  <c r="E70" i="60"/>
  <c r="E80" i="60" s="1"/>
  <c r="I70" i="60"/>
  <c r="I80" i="60" s="1"/>
  <c r="C70" i="60"/>
  <c r="G70" i="60"/>
  <c r="G80" i="60" s="1"/>
  <c r="M70" i="60"/>
  <c r="M80" i="60" s="1"/>
  <c r="K70" i="60"/>
  <c r="K80" i="60" s="1"/>
  <c r="H70" i="60"/>
  <c r="H80" i="60" s="1"/>
  <c r="J70" i="60"/>
  <c r="J80" i="60" s="1"/>
  <c r="C80" i="60" l="1"/>
  <c r="D80" i="60"/>
  <c r="B109" i="60"/>
  <c r="B170" i="60" s="1"/>
  <c r="B93" i="60"/>
  <c r="C170" i="60" l="1"/>
  <c r="E170" i="60"/>
  <c r="G170" i="60"/>
  <c r="I170" i="60"/>
  <c r="K170" i="60"/>
  <c r="M170" i="60"/>
  <c r="F170" i="60"/>
  <c r="J170" i="60"/>
  <c r="N170" i="60"/>
  <c r="D170" i="60"/>
  <c r="H170" i="60"/>
  <c r="L170" i="60"/>
  <c r="B108" i="60"/>
  <c r="B169" i="60" s="1"/>
  <c r="B125" i="60"/>
  <c r="B184" i="60" s="1"/>
  <c r="B196" i="60" s="1"/>
  <c r="B209" i="60" s="1"/>
  <c r="B92" i="60"/>
  <c r="C209" i="60" l="1"/>
  <c r="K209" i="60"/>
  <c r="I209" i="60"/>
  <c r="D209" i="60"/>
  <c r="L209" i="60"/>
  <c r="E209" i="60"/>
  <c r="M209" i="60"/>
  <c r="F209" i="60"/>
  <c r="N209" i="60"/>
  <c r="H209" i="60"/>
  <c r="G209" i="60"/>
  <c r="J209" i="60"/>
  <c r="B140" i="60"/>
  <c r="B156" i="60" s="1"/>
  <c r="J156" i="60" s="1"/>
  <c r="C184" i="60"/>
  <c r="E184" i="60"/>
  <c r="G184" i="60"/>
  <c r="I184" i="60"/>
  <c r="K184" i="60"/>
  <c r="M184" i="60"/>
  <c r="D184" i="60"/>
  <c r="H184" i="60"/>
  <c r="L184" i="60"/>
  <c r="F184" i="60"/>
  <c r="J184" i="60"/>
  <c r="N184" i="60"/>
  <c r="C169" i="60"/>
  <c r="E169" i="60"/>
  <c r="G169" i="60"/>
  <c r="I169" i="60"/>
  <c r="K169" i="60"/>
  <c r="M169" i="60"/>
  <c r="F169" i="60"/>
  <c r="J169" i="60"/>
  <c r="N169" i="60"/>
  <c r="D169" i="60"/>
  <c r="H169" i="60"/>
  <c r="L169" i="60"/>
  <c r="D156" i="60"/>
  <c r="H156" i="60"/>
  <c r="G156" i="60"/>
  <c r="K156" i="60"/>
  <c r="E156" i="60"/>
  <c r="B107" i="60"/>
  <c r="B168" i="60" s="1"/>
  <c r="B124" i="60"/>
  <c r="B183" i="60" s="1"/>
  <c r="B195" i="60" s="1"/>
  <c r="B208" i="60" s="1"/>
  <c r="B91" i="60"/>
  <c r="B106" i="60" s="1"/>
  <c r="B167" i="60" s="1"/>
  <c r="F156" i="60" l="1"/>
  <c r="I156" i="60"/>
  <c r="C156" i="60"/>
  <c r="G208" i="60"/>
  <c r="N208" i="60"/>
  <c r="H208" i="60"/>
  <c r="L208" i="60"/>
  <c r="M208" i="60"/>
  <c r="I208" i="60"/>
  <c r="J208" i="60"/>
  <c r="E208" i="60"/>
  <c r="F208" i="60"/>
  <c r="C208" i="60"/>
  <c r="K208" i="60"/>
  <c r="D208" i="60"/>
  <c r="N156" i="60"/>
  <c r="L156" i="60"/>
  <c r="M156" i="60"/>
  <c r="B139" i="60"/>
  <c r="B155" i="60" s="1"/>
  <c r="C183" i="60"/>
  <c r="E183" i="60"/>
  <c r="G183" i="60"/>
  <c r="I183" i="60"/>
  <c r="K183" i="60"/>
  <c r="M183" i="60"/>
  <c r="D183" i="60"/>
  <c r="H183" i="60"/>
  <c r="L183" i="60"/>
  <c r="F183" i="60"/>
  <c r="J183" i="60"/>
  <c r="N183" i="60"/>
  <c r="C167" i="60"/>
  <c r="E167" i="60"/>
  <c r="G167" i="60"/>
  <c r="I167" i="60"/>
  <c r="K167" i="60"/>
  <c r="M167" i="60"/>
  <c r="F167" i="60"/>
  <c r="J167" i="60"/>
  <c r="N167" i="60"/>
  <c r="D167" i="60"/>
  <c r="H167" i="60"/>
  <c r="L167" i="60"/>
  <c r="C168" i="60"/>
  <c r="E168" i="60"/>
  <c r="G168" i="60"/>
  <c r="I168" i="60"/>
  <c r="K168" i="60"/>
  <c r="M168" i="60"/>
  <c r="F168" i="60"/>
  <c r="J168" i="60"/>
  <c r="N168" i="60"/>
  <c r="D168" i="60"/>
  <c r="H168" i="60"/>
  <c r="L168" i="60"/>
  <c r="D155" i="60"/>
  <c r="F155" i="60"/>
  <c r="H155" i="60"/>
  <c r="J155" i="60"/>
  <c r="L155" i="60"/>
  <c r="N155" i="60"/>
  <c r="C155" i="60"/>
  <c r="G155" i="60"/>
  <c r="K155" i="60"/>
  <c r="E155" i="60"/>
  <c r="I155" i="60"/>
  <c r="M155" i="60"/>
  <c r="B122" i="60"/>
  <c r="B181" i="60" s="1"/>
  <c r="B193" i="60" s="1"/>
  <c r="B206" i="60" s="1"/>
  <c r="B90" i="60"/>
  <c r="B89" i="60" s="1"/>
  <c r="B123" i="60"/>
  <c r="B182" i="60" s="1"/>
  <c r="B194" i="60" s="1"/>
  <c r="B207" i="60" s="1"/>
  <c r="C207" i="60" l="1"/>
  <c r="K207" i="60"/>
  <c r="I207" i="60"/>
  <c r="D207" i="60"/>
  <c r="L207" i="60"/>
  <c r="J207" i="60"/>
  <c r="E207" i="60"/>
  <c r="M207" i="60"/>
  <c r="F207" i="60"/>
  <c r="N207" i="60"/>
  <c r="H207" i="60"/>
  <c r="G207" i="60"/>
  <c r="G206" i="60"/>
  <c r="F206" i="60"/>
  <c r="H206" i="60"/>
  <c r="L206" i="60"/>
  <c r="M206" i="60"/>
  <c r="I206" i="60"/>
  <c r="J206" i="60"/>
  <c r="E206" i="60"/>
  <c r="C206" i="60"/>
  <c r="K206" i="60"/>
  <c r="D206" i="60"/>
  <c r="N206" i="60"/>
  <c r="B138" i="60"/>
  <c r="B154" i="60" s="1"/>
  <c r="H154" i="60" s="1"/>
  <c r="C182" i="60"/>
  <c r="E182" i="60"/>
  <c r="G182" i="60"/>
  <c r="I182" i="60"/>
  <c r="K182" i="60"/>
  <c r="M182" i="60"/>
  <c r="D182" i="60"/>
  <c r="H182" i="60"/>
  <c r="L182" i="60"/>
  <c r="F182" i="60"/>
  <c r="J182" i="60"/>
  <c r="N182" i="60"/>
  <c r="B137" i="60"/>
  <c r="B153" i="60" s="1"/>
  <c r="F153" i="60" s="1"/>
  <c r="C181" i="60"/>
  <c r="E181" i="60"/>
  <c r="G181" i="60"/>
  <c r="I181" i="60"/>
  <c r="K181" i="60"/>
  <c r="M181" i="60"/>
  <c r="D181" i="60"/>
  <c r="H181" i="60"/>
  <c r="L181" i="60"/>
  <c r="F181" i="60"/>
  <c r="J181" i="60"/>
  <c r="N181" i="60"/>
  <c r="D154" i="60"/>
  <c r="F154" i="60"/>
  <c r="J154" i="60"/>
  <c r="L154" i="60"/>
  <c r="N154" i="60"/>
  <c r="C154" i="60"/>
  <c r="G154" i="60"/>
  <c r="K154" i="60"/>
  <c r="E154" i="60"/>
  <c r="M154" i="60"/>
  <c r="B105" i="60"/>
  <c r="B166" i="60" s="1"/>
  <c r="B88" i="60"/>
  <c r="B104" i="60"/>
  <c r="B165" i="60" s="1"/>
  <c r="I154" i="60" l="1"/>
  <c r="H153" i="60"/>
  <c r="D153" i="60"/>
  <c r="I153" i="60"/>
  <c r="K153" i="60"/>
  <c r="C153" i="60"/>
  <c r="L153" i="60"/>
  <c r="B121" i="60"/>
  <c r="B180" i="60" s="1"/>
  <c r="B192" i="60" s="1"/>
  <c r="B205" i="60" s="1"/>
  <c r="M153" i="60"/>
  <c r="E153" i="60"/>
  <c r="G153" i="60"/>
  <c r="N153" i="60"/>
  <c r="J153" i="60"/>
  <c r="C165" i="60"/>
  <c r="E165" i="60"/>
  <c r="G165" i="60"/>
  <c r="I165" i="60"/>
  <c r="K165" i="60"/>
  <c r="M165" i="60"/>
  <c r="D165" i="60"/>
  <c r="F165" i="60"/>
  <c r="J165" i="60"/>
  <c r="N165" i="60"/>
  <c r="H165" i="60"/>
  <c r="L165" i="60"/>
  <c r="C166" i="60"/>
  <c r="E166" i="60"/>
  <c r="G166" i="60"/>
  <c r="I166" i="60"/>
  <c r="K166" i="60"/>
  <c r="M166" i="60"/>
  <c r="F166" i="60"/>
  <c r="J166" i="60"/>
  <c r="N166" i="60"/>
  <c r="D166" i="60"/>
  <c r="H166" i="60"/>
  <c r="L166" i="60"/>
  <c r="B120" i="60"/>
  <c r="B179" i="60" s="1"/>
  <c r="B191" i="60" s="1"/>
  <c r="B204" i="60" s="1"/>
  <c r="B87" i="60"/>
  <c r="B103" i="60"/>
  <c r="B164" i="60" s="1"/>
  <c r="G204" i="60" l="1"/>
  <c r="H204" i="60"/>
  <c r="L204" i="60"/>
  <c r="M204" i="60"/>
  <c r="N204" i="60"/>
  <c r="I204" i="60"/>
  <c r="J204" i="60"/>
  <c r="C204" i="60"/>
  <c r="K204" i="60"/>
  <c r="D204" i="60"/>
  <c r="E204" i="60"/>
  <c r="F204" i="60"/>
  <c r="C205" i="60"/>
  <c r="K205" i="60"/>
  <c r="I205" i="60"/>
  <c r="D205" i="60"/>
  <c r="L205" i="60"/>
  <c r="E205" i="60"/>
  <c r="M205" i="60"/>
  <c r="F205" i="60"/>
  <c r="N205" i="60"/>
  <c r="H205" i="60"/>
  <c r="J205" i="60"/>
  <c r="G205" i="60"/>
  <c r="B135" i="60"/>
  <c r="B151" i="60" s="1"/>
  <c r="C179" i="60"/>
  <c r="E179" i="60"/>
  <c r="G179" i="60"/>
  <c r="I179" i="60"/>
  <c r="K179" i="60"/>
  <c r="M179" i="60"/>
  <c r="D179" i="60"/>
  <c r="H179" i="60"/>
  <c r="L179" i="60"/>
  <c r="F179" i="60"/>
  <c r="J179" i="60"/>
  <c r="N179" i="60"/>
  <c r="B136" i="60"/>
  <c r="B152" i="60" s="1"/>
  <c r="C180" i="60"/>
  <c r="E180" i="60"/>
  <c r="G180" i="60"/>
  <c r="I180" i="60"/>
  <c r="K180" i="60"/>
  <c r="M180" i="60"/>
  <c r="D180" i="60"/>
  <c r="H180" i="60"/>
  <c r="L180" i="60"/>
  <c r="F180" i="60"/>
  <c r="J180" i="60"/>
  <c r="N180" i="60"/>
  <c r="C164" i="60"/>
  <c r="E164" i="60"/>
  <c r="G164" i="60"/>
  <c r="I164" i="60"/>
  <c r="K164" i="60"/>
  <c r="M164" i="60"/>
  <c r="D164" i="60"/>
  <c r="F164" i="60"/>
  <c r="H164" i="60"/>
  <c r="J164" i="60"/>
  <c r="L164" i="60"/>
  <c r="N164" i="60"/>
  <c r="D151" i="60"/>
  <c r="F151" i="60"/>
  <c r="H151" i="60"/>
  <c r="J151" i="60"/>
  <c r="L151" i="60"/>
  <c r="N151" i="60"/>
  <c r="C151" i="60"/>
  <c r="G151" i="60"/>
  <c r="K151" i="60"/>
  <c r="E151" i="60"/>
  <c r="I151" i="60"/>
  <c r="M151" i="60"/>
  <c r="B119" i="60"/>
  <c r="B178" i="60" s="1"/>
  <c r="B190" i="60" s="1"/>
  <c r="B203" i="60" s="1"/>
  <c r="B86" i="60"/>
  <c r="B102" i="60"/>
  <c r="B163" i="60" s="1"/>
  <c r="C203" i="60" l="1"/>
  <c r="K203" i="60"/>
  <c r="H203" i="60"/>
  <c r="I203" i="60"/>
  <c r="D203" i="60"/>
  <c r="L203" i="60"/>
  <c r="E203" i="60"/>
  <c r="M203" i="60"/>
  <c r="F203" i="60"/>
  <c r="N203" i="60"/>
  <c r="G203" i="60"/>
  <c r="J203" i="60"/>
  <c r="D152" i="60"/>
  <c r="H152" i="60"/>
  <c r="L152" i="60"/>
  <c r="C152" i="60"/>
  <c r="K152" i="60"/>
  <c r="I152" i="60"/>
  <c r="F152" i="60"/>
  <c r="J152" i="60"/>
  <c r="N152" i="60"/>
  <c r="G152" i="60"/>
  <c r="E152" i="60"/>
  <c r="M152" i="60"/>
  <c r="B134" i="60"/>
  <c r="B150" i="60" s="1"/>
  <c r="C178" i="60"/>
  <c r="E178" i="60"/>
  <c r="G178" i="60"/>
  <c r="I178" i="60"/>
  <c r="K178" i="60"/>
  <c r="M178" i="60"/>
  <c r="D178" i="60"/>
  <c r="H178" i="60"/>
  <c r="L178" i="60"/>
  <c r="F178" i="60"/>
  <c r="J178" i="60"/>
  <c r="N178" i="60"/>
  <c r="C163" i="60"/>
  <c r="E163" i="60"/>
  <c r="G163" i="60"/>
  <c r="I163" i="60"/>
  <c r="K163" i="60"/>
  <c r="M163" i="60"/>
  <c r="D163" i="60"/>
  <c r="F163" i="60"/>
  <c r="H163" i="60"/>
  <c r="J163" i="60"/>
  <c r="L163" i="60"/>
  <c r="N163" i="60"/>
  <c r="D150" i="60"/>
  <c r="F150" i="60"/>
  <c r="H150" i="60"/>
  <c r="J150" i="60"/>
  <c r="L150" i="60"/>
  <c r="N150" i="60"/>
  <c r="C150" i="60"/>
  <c r="E150" i="60"/>
  <c r="G150" i="60"/>
  <c r="K150" i="60"/>
  <c r="I150" i="60"/>
  <c r="M150" i="60"/>
  <c r="B118" i="60"/>
  <c r="B177" i="60" s="1"/>
  <c r="B189" i="60" s="1"/>
  <c r="B202" i="60" s="1"/>
  <c r="B85" i="60"/>
  <c r="B101" i="60"/>
  <c r="B162" i="60" s="1"/>
  <c r="G202" i="60" l="1"/>
  <c r="N202" i="60"/>
  <c r="H202" i="60"/>
  <c r="L202" i="60"/>
  <c r="E202" i="60"/>
  <c r="I202" i="60"/>
  <c r="J202" i="60"/>
  <c r="D202" i="60"/>
  <c r="M202" i="60"/>
  <c r="F202" i="60"/>
  <c r="C202" i="60"/>
  <c r="K202" i="60"/>
  <c r="B133" i="60"/>
  <c r="B149" i="60" s="1"/>
  <c r="N149" i="60" s="1"/>
  <c r="C177" i="60"/>
  <c r="E177" i="60"/>
  <c r="G177" i="60"/>
  <c r="I177" i="60"/>
  <c r="K177" i="60"/>
  <c r="M177" i="60"/>
  <c r="D177" i="60"/>
  <c r="H177" i="60"/>
  <c r="L177" i="60"/>
  <c r="F177" i="60"/>
  <c r="J177" i="60"/>
  <c r="N177" i="60"/>
  <c r="D162" i="60"/>
  <c r="D171" i="60" s="1"/>
  <c r="F162" i="60"/>
  <c r="F171" i="60" s="1"/>
  <c r="H162" i="60"/>
  <c r="H171" i="60" s="1"/>
  <c r="J162" i="60"/>
  <c r="J171" i="60" s="1"/>
  <c r="L162" i="60"/>
  <c r="L171" i="60" s="1"/>
  <c r="N162" i="60"/>
  <c r="N171" i="60" s="1"/>
  <c r="G162" i="60"/>
  <c r="G171" i="60" s="1"/>
  <c r="K162" i="60"/>
  <c r="K171" i="60" s="1"/>
  <c r="C162" i="60"/>
  <c r="C171" i="60" s="1"/>
  <c r="E162" i="60"/>
  <c r="E171" i="60" s="1"/>
  <c r="I162" i="60"/>
  <c r="I171" i="60" s="1"/>
  <c r="M162" i="60"/>
  <c r="M171" i="60" s="1"/>
  <c r="F149" i="60"/>
  <c r="I149" i="60"/>
  <c r="K149" i="60"/>
  <c r="M149" i="60"/>
  <c r="B117" i="60"/>
  <c r="B176" i="60" s="1"/>
  <c r="B188" i="60" s="1"/>
  <c r="B201" i="60" s="1"/>
  <c r="B100" i="60"/>
  <c r="J149" i="60" l="1"/>
  <c r="H149" i="60"/>
  <c r="E149" i="60"/>
  <c r="L149" i="60"/>
  <c r="G149" i="60"/>
  <c r="D149" i="60"/>
  <c r="C149" i="60"/>
  <c r="C201" i="60"/>
  <c r="K201" i="60"/>
  <c r="I201" i="60"/>
  <c r="D201" i="60"/>
  <c r="L201" i="60"/>
  <c r="J201" i="60"/>
  <c r="E201" i="60"/>
  <c r="M201" i="60"/>
  <c r="F201" i="60"/>
  <c r="N201" i="60"/>
  <c r="G201" i="60"/>
  <c r="H201" i="60"/>
  <c r="B132" i="60"/>
  <c r="B148" i="60" s="1"/>
  <c r="D148" i="60" s="1"/>
  <c r="C176" i="60"/>
  <c r="E176" i="60"/>
  <c r="G176" i="60"/>
  <c r="I176" i="60"/>
  <c r="K176" i="60"/>
  <c r="M176" i="60"/>
  <c r="D176" i="60"/>
  <c r="H176" i="60"/>
  <c r="L176" i="60"/>
  <c r="F176" i="60"/>
  <c r="J176" i="60"/>
  <c r="N176" i="60"/>
  <c r="C148" i="60"/>
  <c r="B116" i="60"/>
  <c r="B175" i="60" s="1"/>
  <c r="B187" i="60" s="1"/>
  <c r="B200" i="60" s="1"/>
  <c r="H12" i="17"/>
  <c r="C45" i="11" s="1"/>
  <c r="H13" i="17"/>
  <c r="D45" i="11" s="1"/>
  <c r="H14" i="17"/>
  <c r="E45" i="11" s="1"/>
  <c r="H15" i="17"/>
  <c r="F45" i="11" s="1"/>
  <c r="H16" i="17"/>
  <c r="G45" i="11" s="1"/>
  <c r="H17" i="17"/>
  <c r="H45" i="11" s="1"/>
  <c r="H18" i="17"/>
  <c r="I45" i="11" s="1"/>
  <c r="H19" i="17"/>
  <c r="J45" i="11" s="1"/>
  <c r="H20" i="17"/>
  <c r="K45" i="11" s="1"/>
  <c r="H11" i="17"/>
  <c r="B45" i="11" s="1"/>
  <c r="M148" i="60" l="1"/>
  <c r="E148" i="60"/>
  <c r="N148" i="60"/>
  <c r="L148" i="60"/>
  <c r="J148" i="60"/>
  <c r="K148" i="60"/>
  <c r="H148" i="60"/>
  <c r="I148" i="60"/>
  <c r="F148" i="60"/>
  <c r="G148" i="60"/>
  <c r="H200" i="60"/>
  <c r="I200" i="60"/>
  <c r="M200" i="60"/>
  <c r="N200" i="60"/>
  <c r="G200" i="60"/>
  <c r="J200" i="60"/>
  <c r="K200" i="60"/>
  <c r="F200" i="60"/>
  <c r="D200" i="60"/>
  <c r="L200" i="60"/>
  <c r="E200" i="60"/>
  <c r="C200" i="60"/>
  <c r="D175" i="60"/>
  <c r="F175" i="60"/>
  <c r="H175" i="60"/>
  <c r="J175" i="60"/>
  <c r="L175" i="60"/>
  <c r="N175" i="60"/>
  <c r="E175" i="60"/>
  <c r="I175" i="60"/>
  <c r="M175" i="60"/>
  <c r="G175" i="60"/>
  <c r="K175" i="60"/>
  <c r="C175" i="60"/>
  <c r="B131" i="60"/>
  <c r="B147" i="60" s="1"/>
  <c r="E3" i="18"/>
  <c r="C47" i="11" s="1"/>
  <c r="E4" i="18"/>
  <c r="D47" i="11" s="1"/>
  <c r="E5" i="18"/>
  <c r="E47" i="11" s="1"/>
  <c r="E6" i="18"/>
  <c r="F47" i="11" s="1"/>
  <c r="E7" i="18"/>
  <c r="G47" i="11" s="1"/>
  <c r="E8" i="18"/>
  <c r="H47" i="11" s="1"/>
  <c r="E9" i="18"/>
  <c r="I47" i="11" s="1"/>
  <c r="E2" i="18"/>
  <c r="B47" i="11" s="1"/>
  <c r="E147" i="60" l="1"/>
  <c r="G147" i="60"/>
  <c r="I147" i="60"/>
  <c r="K147" i="60"/>
  <c r="M147" i="60"/>
  <c r="C147" i="60"/>
  <c r="D147" i="60"/>
  <c r="H147" i="60"/>
  <c r="L147" i="60"/>
  <c r="F147" i="60"/>
  <c r="J147" i="60"/>
  <c r="N147" i="60"/>
  <c r="A24" i="9" l="1"/>
  <c r="F10" i="17" l="1"/>
  <c r="B29" i="11" l="1"/>
  <c r="D29" i="11"/>
  <c r="E29" i="11"/>
  <c r="H29" i="11"/>
  <c r="C29" i="11"/>
  <c r="F29" i="11"/>
  <c r="G29" i="11"/>
  <c r="C2" i="17" l="1"/>
  <c r="C43" i="17" s="1"/>
  <c r="D2" i="17"/>
  <c r="D43" i="17" s="1"/>
  <c r="E2" i="17"/>
  <c r="E43" i="17" s="1"/>
  <c r="F2" i="17"/>
  <c r="F43" i="17" s="1"/>
  <c r="G2" i="17"/>
  <c r="G43" i="17" s="1"/>
  <c r="J27" i="11" l="1"/>
  <c r="E34" i="17" l="1"/>
  <c r="F255" i="60" s="1"/>
  <c r="F34" i="17" l="1"/>
  <c r="G255" i="60" s="1"/>
  <c r="G34" i="17"/>
  <c r="H255" i="60" s="1"/>
  <c r="I27" i="11" l="1"/>
  <c r="F27" i="11"/>
  <c r="H27" i="11" l="1"/>
  <c r="E27" i="11"/>
  <c r="D27" i="11"/>
  <c r="G27" i="11"/>
  <c r="C34" i="17" l="1"/>
  <c r="D255" i="60" s="1"/>
  <c r="D34" i="17"/>
  <c r="E255" i="60" s="1"/>
  <c r="C30" i="17"/>
  <c r="D251" i="60" s="1"/>
  <c r="I255" i="60" l="1"/>
  <c r="C31" i="17"/>
  <c r="D252" i="60" s="1"/>
  <c r="C32" i="17"/>
  <c r="D253" i="60" s="1"/>
  <c r="C29" i="17"/>
  <c r="D250" i="60" s="1"/>
  <c r="C33" i="17"/>
  <c r="D254" i="60" s="1"/>
  <c r="C10" i="17" l="1"/>
  <c r="E33" i="17"/>
  <c r="F254" i="60" s="1"/>
  <c r="E32" i="17"/>
  <c r="F253" i="60" s="1"/>
  <c r="E31" i="17"/>
  <c r="F252" i="60" s="1"/>
  <c r="E30" i="17"/>
  <c r="F251" i="60" s="1"/>
  <c r="E29" i="17"/>
  <c r="F250" i="60" s="1"/>
  <c r="E28" i="17"/>
  <c r="F249" i="60" s="1"/>
  <c r="E27" i="17"/>
  <c r="F248" i="60" s="1"/>
  <c r="E26" i="17"/>
  <c r="D10" i="17"/>
  <c r="B10" i="17"/>
  <c r="F9" i="17"/>
  <c r="E9" i="17"/>
  <c r="D9" i="17"/>
  <c r="C9" i="17"/>
  <c r="B9" i="17"/>
  <c r="F8" i="17"/>
  <c r="E8" i="17"/>
  <c r="D8" i="17"/>
  <c r="C8" i="17"/>
  <c r="B8" i="17"/>
  <c r="F7" i="17"/>
  <c r="E7" i="17"/>
  <c r="D7" i="17"/>
  <c r="C7" i="17"/>
  <c r="B7" i="17"/>
  <c r="E6" i="17"/>
  <c r="D6" i="17"/>
  <c r="C6" i="17"/>
  <c r="B6" i="17"/>
  <c r="F5" i="17"/>
  <c r="E5" i="17"/>
  <c r="D5" i="17"/>
  <c r="C5" i="17"/>
  <c r="B5" i="17"/>
  <c r="D1" i="18"/>
  <c r="C1" i="18"/>
  <c r="B1" i="18"/>
  <c r="B2" i="17"/>
  <c r="B43" i="17" s="1"/>
  <c r="A36" i="11"/>
  <c r="A31" i="11"/>
  <c r="A26" i="11"/>
  <c r="A21" i="11"/>
  <c r="A17" i="11"/>
  <c r="A13" i="11"/>
  <c r="E39" i="17" l="1"/>
  <c r="F247" i="60"/>
  <c r="E59" i="17"/>
  <c r="E61" i="17" s="1"/>
  <c r="E37" i="17"/>
  <c r="M11" i="9"/>
  <c r="L11" i="9"/>
  <c r="J11" i="9"/>
  <c r="K11" i="9"/>
  <c r="H11" i="9"/>
  <c r="I11" i="9"/>
  <c r="J6" i="9"/>
  <c r="L6" i="9"/>
  <c r="M6" i="9"/>
  <c r="H6" i="9"/>
  <c r="K6" i="9"/>
  <c r="I6" i="9"/>
  <c r="H5" i="9"/>
  <c r="I5" i="9"/>
  <c r="L5" i="9"/>
  <c r="J5" i="9"/>
  <c r="M5" i="9"/>
  <c r="K5" i="9"/>
  <c r="L8" i="9"/>
  <c r="I8" i="9"/>
  <c r="J8" i="9"/>
  <c r="H8" i="9"/>
  <c r="M8" i="9"/>
  <c r="K8" i="9"/>
  <c r="A22" i="9"/>
  <c r="H12" i="9"/>
  <c r="M12" i="9"/>
  <c r="I12" i="9"/>
  <c r="L12" i="9"/>
  <c r="G271" i="60" s="1"/>
  <c r="J12" i="9"/>
  <c r="E271" i="60" s="1"/>
  <c r="K12" i="9"/>
  <c r="F271" i="60" s="1"/>
  <c r="L7" i="9"/>
  <c r="H7" i="9"/>
  <c r="M7" i="9"/>
  <c r="I7" i="9"/>
  <c r="J7" i="9"/>
  <c r="K7" i="9"/>
  <c r="I9" i="9"/>
  <c r="H9" i="9"/>
  <c r="J9" i="9"/>
  <c r="L9" i="9"/>
  <c r="K9" i="9"/>
  <c r="M9" i="9"/>
  <c r="M10" i="9"/>
  <c r="H10" i="9"/>
  <c r="I10" i="9"/>
  <c r="L10" i="9"/>
  <c r="K10" i="9"/>
  <c r="J10" i="9"/>
  <c r="J33" i="11"/>
  <c r="F26" i="17"/>
  <c r="D37" i="11"/>
  <c r="I35" i="9"/>
  <c r="H37" i="11"/>
  <c r="C24" i="11"/>
  <c r="F34" i="11"/>
  <c r="B34" i="11"/>
  <c r="D24" i="11"/>
  <c r="C34" i="11"/>
  <c r="D34" i="11"/>
  <c r="I22" i="11"/>
  <c r="G32" i="11"/>
  <c r="F32" i="11"/>
  <c r="E22" i="11"/>
  <c r="E32" i="11"/>
  <c r="I32" i="11"/>
  <c r="I18" i="11"/>
  <c r="B24" i="11"/>
  <c r="H24" i="11"/>
  <c r="C652" i="60" l="1"/>
  <c r="G247" i="60"/>
  <c r="C267" i="60"/>
  <c r="C269" i="60"/>
  <c r="C21" i="18"/>
  <c r="F267" i="60"/>
  <c r="G38" i="11"/>
  <c r="H267" i="60"/>
  <c r="I19" i="11"/>
  <c r="D269" i="60"/>
  <c r="H19" i="11"/>
  <c r="D268" i="60"/>
  <c r="D19" i="11"/>
  <c r="D264" i="60"/>
  <c r="D423" i="60" a="1"/>
  <c r="J19" i="11"/>
  <c r="D270" i="60"/>
  <c r="B18" i="18"/>
  <c r="E264" i="60"/>
  <c r="D18" i="18"/>
  <c r="G264" i="60"/>
  <c r="C20" i="18"/>
  <c r="F266" i="60"/>
  <c r="B21" i="18"/>
  <c r="E267" i="60"/>
  <c r="C264" i="60"/>
  <c r="D422" i="60" a="1"/>
  <c r="J15" i="11"/>
  <c r="C270" i="60"/>
  <c r="D19" i="18"/>
  <c r="G265" i="60"/>
  <c r="B19" i="18"/>
  <c r="E265" i="60"/>
  <c r="I38" i="11"/>
  <c r="H269" i="60"/>
  <c r="B20" i="18"/>
  <c r="E266" i="60"/>
  <c r="I17" i="9"/>
  <c r="D271" i="60"/>
  <c r="G19" i="11"/>
  <c r="D267" i="60"/>
  <c r="E19" i="11"/>
  <c r="D265" i="60"/>
  <c r="C24" i="18"/>
  <c r="F270" i="60"/>
  <c r="C23" i="18"/>
  <c r="F269" i="60"/>
  <c r="H38" i="11"/>
  <c r="H268" i="60"/>
  <c r="F19" i="11"/>
  <c r="D266" i="60"/>
  <c r="M17" i="9"/>
  <c r="H271" i="60"/>
  <c r="D21" i="18"/>
  <c r="G267" i="60"/>
  <c r="C19" i="18"/>
  <c r="F265" i="60"/>
  <c r="B24" i="18"/>
  <c r="E270" i="60"/>
  <c r="D20" i="18"/>
  <c r="G266" i="60"/>
  <c r="H15" i="11"/>
  <c r="C268" i="60"/>
  <c r="C22" i="18"/>
  <c r="F268" i="60"/>
  <c r="F38" i="11"/>
  <c r="H266" i="60"/>
  <c r="H17" i="9"/>
  <c r="C271" i="60"/>
  <c r="C18" i="18"/>
  <c r="F264" i="60"/>
  <c r="E15" i="11"/>
  <c r="C265" i="60"/>
  <c r="D24" i="18"/>
  <c r="G270" i="60"/>
  <c r="B22" i="18"/>
  <c r="E268" i="60"/>
  <c r="D23" i="18"/>
  <c r="G269" i="60"/>
  <c r="B23" i="18"/>
  <c r="E269" i="60"/>
  <c r="D22" i="18"/>
  <c r="G268" i="60"/>
  <c r="F15" i="11"/>
  <c r="C266" i="60"/>
  <c r="D38" i="11"/>
  <c r="H264" i="60"/>
  <c r="D427" i="60" a="1"/>
  <c r="E38" i="11"/>
  <c r="H265" i="60"/>
  <c r="J38" i="11"/>
  <c r="H270" i="60"/>
  <c r="F23" i="11"/>
  <c r="J28" i="11"/>
  <c r="B43" i="11"/>
  <c r="G33" i="11"/>
  <c r="H33" i="11"/>
  <c r="D43" i="11"/>
  <c r="K17" i="9"/>
  <c r="C25" i="18"/>
  <c r="L17" i="9"/>
  <c r="D25" i="18"/>
  <c r="C43" i="11"/>
  <c r="J23" i="11"/>
  <c r="J17" i="9"/>
  <c r="B25" i="18"/>
  <c r="G23" i="11"/>
  <c r="I23" i="11"/>
  <c r="D33" i="11"/>
  <c r="E23" i="11"/>
  <c r="G9" i="9"/>
  <c r="N9" i="9" s="1"/>
  <c r="K28" i="11"/>
  <c r="K23" i="9"/>
  <c r="K24" i="9" s="1"/>
  <c r="C706" i="60" s="1"/>
  <c r="E706" i="60" s="1"/>
  <c r="K23" i="11"/>
  <c r="J23" i="9"/>
  <c r="J24" i="9" s="1"/>
  <c r="C705" i="60" s="1"/>
  <c r="E705" i="60" s="1"/>
  <c r="G10" i="9"/>
  <c r="N10" i="9" s="1"/>
  <c r="F28" i="11"/>
  <c r="K33" i="11"/>
  <c r="L23" i="9"/>
  <c r="L24" i="9" s="1"/>
  <c r="C707" i="60" s="1"/>
  <c r="E707" i="60" s="1"/>
  <c r="G5" i="9"/>
  <c r="N5" i="9" s="1"/>
  <c r="D15" i="11"/>
  <c r="G11" i="9"/>
  <c r="G8" i="9"/>
  <c r="K19" i="11"/>
  <c r="I23" i="9"/>
  <c r="I24" i="9" s="1"/>
  <c r="C704" i="60" s="1"/>
  <c r="E704" i="60" s="1"/>
  <c r="K38" i="11"/>
  <c r="M23" i="9"/>
  <c r="M24" i="9" s="1"/>
  <c r="C708" i="60" s="1"/>
  <c r="E708" i="60" s="1"/>
  <c r="E28" i="11"/>
  <c r="F33" i="11"/>
  <c r="I15" i="11"/>
  <c r="E33" i="11"/>
  <c r="I33" i="11"/>
  <c r="G12" i="9"/>
  <c r="N12" i="9" s="1"/>
  <c r="K15" i="11"/>
  <c r="D28" i="11"/>
  <c r="G6" i="9"/>
  <c r="N6" i="9" s="1"/>
  <c r="H23" i="11"/>
  <c r="D23" i="11"/>
  <c r="G15" i="11"/>
  <c r="G7" i="9"/>
  <c r="N7" i="9" s="1"/>
  <c r="H23" i="9"/>
  <c r="H28" i="9" s="1"/>
  <c r="B27" i="17"/>
  <c r="C26" i="17"/>
  <c r="C39" i="17" s="1"/>
  <c r="B28" i="17"/>
  <c r="C249" i="60" s="1"/>
  <c r="D18" i="11"/>
  <c r="C27" i="17"/>
  <c r="D248" i="60" s="1"/>
  <c r="C28" i="17"/>
  <c r="D249" i="60" s="1"/>
  <c r="B29" i="17"/>
  <c r="C250" i="60" s="1"/>
  <c r="D27" i="17"/>
  <c r="E248" i="60" s="1"/>
  <c r="D26" i="17"/>
  <c r="G28" i="11"/>
  <c r="K27" i="11"/>
  <c r="I28" i="11"/>
  <c r="H28" i="11"/>
  <c r="J32" i="11"/>
  <c r="G26" i="17"/>
  <c r="G27" i="17"/>
  <c r="H248" i="60" s="1"/>
  <c r="D22" i="11"/>
  <c r="H34" i="11"/>
  <c r="H43" i="11" s="1"/>
  <c r="E34" i="11"/>
  <c r="F24" i="11"/>
  <c r="F43" i="11" s="1"/>
  <c r="G34" i="11"/>
  <c r="G24" i="11"/>
  <c r="D33" i="17"/>
  <c r="E254" i="60" s="1"/>
  <c r="D29" i="17"/>
  <c r="E250" i="60" s="1"/>
  <c r="F33" i="17"/>
  <c r="G254" i="60" s="1"/>
  <c r="F29" i="17"/>
  <c r="G250" i="60" s="1"/>
  <c r="H22" i="11"/>
  <c r="D32" i="17"/>
  <c r="E253" i="60" s="1"/>
  <c r="F30" i="17"/>
  <c r="G251" i="60" s="1"/>
  <c r="B31" i="17"/>
  <c r="C252" i="60" s="1"/>
  <c r="E24" i="11"/>
  <c r="F27" i="17"/>
  <c r="G248" i="60" s="1"/>
  <c r="D32" i="11"/>
  <c r="D28" i="17"/>
  <c r="E249" i="60" s="1"/>
  <c r="F22" i="11"/>
  <c r="E18" i="11"/>
  <c r="F28" i="17"/>
  <c r="G249" i="60" s="1"/>
  <c r="G28" i="17"/>
  <c r="H249" i="60" s="1"/>
  <c r="E37" i="11"/>
  <c r="H18" i="11"/>
  <c r="G30" i="17"/>
  <c r="H251" i="60" s="1"/>
  <c r="G37" i="11"/>
  <c r="G33" i="17"/>
  <c r="H254" i="60" s="1"/>
  <c r="J37" i="11"/>
  <c r="G31" i="17"/>
  <c r="H252" i="60" s="1"/>
  <c r="F18" i="11"/>
  <c r="G29" i="17"/>
  <c r="H250" i="60" s="1"/>
  <c r="F37" i="11"/>
  <c r="G32" i="17"/>
  <c r="H253" i="60" s="1"/>
  <c r="I37" i="11"/>
  <c r="I41" i="11" s="1"/>
  <c r="B30" i="18" l="1"/>
  <c r="G39" i="17"/>
  <c r="D33" i="18"/>
  <c r="C33" i="18"/>
  <c r="B33" i="18"/>
  <c r="C30" i="18"/>
  <c r="C28" i="18" s="1"/>
  <c r="B28" i="18"/>
  <c r="D30" i="18"/>
  <c r="D28" i="18" s="1"/>
  <c r="D247" i="60"/>
  <c r="C59" i="17"/>
  <c r="C61" i="17" s="1"/>
  <c r="C248" i="60"/>
  <c r="I248" i="60" s="1"/>
  <c r="H247" i="60"/>
  <c r="G59" i="17"/>
  <c r="G61" i="17" s="1"/>
  <c r="E247" i="60"/>
  <c r="I264" i="60"/>
  <c r="I269" i="60"/>
  <c r="I267" i="60"/>
  <c r="J42" i="11"/>
  <c r="I265" i="60"/>
  <c r="D427" i="60"/>
  <c r="G589" i="60"/>
  <c r="G499" i="60"/>
  <c r="G553" i="60"/>
  <c r="G517" i="60"/>
  <c r="G481" i="60"/>
  <c r="G463" i="60"/>
  <c r="G535" i="60"/>
  <c r="G571" i="60"/>
  <c r="I249" i="60"/>
  <c r="I268" i="60"/>
  <c r="D423" i="60"/>
  <c r="G531" i="60"/>
  <c r="G513" i="60"/>
  <c r="G477" i="60"/>
  <c r="G567" i="60"/>
  <c r="G585" i="60"/>
  <c r="G495" i="60"/>
  <c r="G549" i="60"/>
  <c r="G459" i="60"/>
  <c r="I266" i="60"/>
  <c r="I271" i="60"/>
  <c r="I270" i="60"/>
  <c r="I250" i="60"/>
  <c r="F256" i="60"/>
  <c r="D422" i="60"/>
  <c r="G584" i="60"/>
  <c r="G494" i="60"/>
  <c r="G458" i="60"/>
  <c r="G548" i="60"/>
  <c r="G476" i="60"/>
  <c r="G512" i="60"/>
  <c r="G530" i="60"/>
  <c r="G566" i="60"/>
  <c r="I566" i="60" s="1"/>
  <c r="L27" i="11"/>
  <c r="D384" i="60" s="1"/>
  <c r="F8" i="9"/>
  <c r="F18" i="9" s="1"/>
  <c r="N8" i="9"/>
  <c r="N11" i="9"/>
  <c r="F11" i="9"/>
  <c r="H42" i="11"/>
  <c r="D41" i="11"/>
  <c r="E43" i="11"/>
  <c r="G43" i="11"/>
  <c r="F42" i="11"/>
  <c r="E42" i="11"/>
  <c r="K42" i="11"/>
  <c r="F41" i="11"/>
  <c r="F46" i="11"/>
  <c r="F10" i="11"/>
  <c r="F11" i="11" s="1"/>
  <c r="E10" i="11"/>
  <c r="E11" i="11" s="1"/>
  <c r="E46" i="11"/>
  <c r="I42" i="11"/>
  <c r="J10" i="11"/>
  <c r="J11" i="11" s="1"/>
  <c r="J46" i="11"/>
  <c r="F5" i="9"/>
  <c r="D46" i="11"/>
  <c r="D10" i="11"/>
  <c r="H46" i="11"/>
  <c r="H10" i="11"/>
  <c r="H11" i="11" s="1"/>
  <c r="E41" i="11"/>
  <c r="G42" i="11"/>
  <c r="K46" i="11"/>
  <c r="K10" i="11"/>
  <c r="K11" i="11" s="1"/>
  <c r="G10" i="11"/>
  <c r="G11" i="11" s="1"/>
  <c r="G46" i="11"/>
  <c r="D42" i="11"/>
  <c r="I46" i="11"/>
  <c r="I10" i="11"/>
  <c r="I11" i="11" s="1"/>
  <c r="H24" i="9"/>
  <c r="C703" i="60" s="1"/>
  <c r="E703" i="60" s="1"/>
  <c r="G37" i="17"/>
  <c r="F12" i="9"/>
  <c r="F6" i="9"/>
  <c r="B33" i="17"/>
  <c r="C254" i="60" s="1"/>
  <c r="I254" i="60" s="1"/>
  <c r="C251" i="60"/>
  <c r="B32" i="17"/>
  <c r="C253" i="60" s="1"/>
  <c r="F7" i="9"/>
  <c r="E22" i="17"/>
  <c r="K47" i="9" s="1"/>
  <c r="D31" i="17"/>
  <c r="E252" i="60" s="1"/>
  <c r="G22" i="11"/>
  <c r="D30" i="17"/>
  <c r="E251" i="60" s="1"/>
  <c r="F10" i="9"/>
  <c r="J22" i="11"/>
  <c r="F9" i="9"/>
  <c r="H32" i="11"/>
  <c r="H41" i="11" s="1"/>
  <c r="F31" i="17"/>
  <c r="G252" i="60" s="1"/>
  <c r="J18" i="11"/>
  <c r="F32" i="17"/>
  <c r="G253" i="60" s="1"/>
  <c r="K37" i="11"/>
  <c r="G18" i="11"/>
  <c r="F17" i="9" l="1"/>
  <c r="F39" i="17"/>
  <c r="D39" i="17"/>
  <c r="I247" i="60"/>
  <c r="D59" i="17"/>
  <c r="D61" i="17" s="1"/>
  <c r="B59" i="17"/>
  <c r="B61" i="17" s="1"/>
  <c r="F59" i="17"/>
  <c r="F61" i="17" s="1"/>
  <c r="I252" i="60"/>
  <c r="F584" i="60"/>
  <c r="F591" i="60" s="1"/>
  <c r="F458" i="60"/>
  <c r="G440" i="60"/>
  <c r="F531" i="60"/>
  <c r="I513" i="60"/>
  <c r="F481" i="60"/>
  <c r="G488" i="60" s="1"/>
  <c r="I463" i="60"/>
  <c r="H481" i="60" s="1"/>
  <c r="F548" i="60"/>
  <c r="F555" i="60" s="1"/>
  <c r="I530" i="60"/>
  <c r="F549" i="60"/>
  <c r="G556" i="60" s="1"/>
  <c r="I531" i="60"/>
  <c r="I481" i="60"/>
  <c r="F499" i="60"/>
  <c r="G506" i="60" s="1"/>
  <c r="I459" i="60"/>
  <c r="H477" i="60" s="1"/>
  <c r="F477" i="60"/>
  <c r="G484" i="60" s="1"/>
  <c r="G441" i="60"/>
  <c r="F459" i="60"/>
  <c r="F535" i="60"/>
  <c r="G542" i="60" s="1"/>
  <c r="I517" i="60"/>
  <c r="F494" i="60"/>
  <c r="F501" i="60" s="1"/>
  <c r="I476" i="60"/>
  <c r="F567" i="60"/>
  <c r="G574" i="60" s="1"/>
  <c r="I549" i="60"/>
  <c r="F571" i="60"/>
  <c r="G578" i="60" s="1"/>
  <c r="I553" i="60"/>
  <c r="H256" i="60"/>
  <c r="I548" i="60"/>
  <c r="F566" i="60"/>
  <c r="G573" i="60" s="1"/>
  <c r="I495" i="60"/>
  <c r="F513" i="60"/>
  <c r="F517" i="60"/>
  <c r="F524" i="60" s="1"/>
  <c r="I499" i="60"/>
  <c r="F257" i="60"/>
  <c r="I458" i="60"/>
  <c r="H476" i="60" s="1"/>
  <c r="F476" i="60"/>
  <c r="G483" i="60" s="1"/>
  <c r="F603" i="60"/>
  <c r="I585" i="60"/>
  <c r="F607" i="60"/>
  <c r="I589" i="60"/>
  <c r="I512" i="60"/>
  <c r="F530" i="60"/>
  <c r="G537" i="60" s="1"/>
  <c r="I253" i="60"/>
  <c r="I494" i="60"/>
  <c r="F512" i="60"/>
  <c r="G519" i="60" s="1"/>
  <c r="F585" i="60"/>
  <c r="G592" i="60" s="1"/>
  <c r="I567" i="60"/>
  <c r="I571" i="60"/>
  <c r="F589" i="60"/>
  <c r="G596" i="60" s="1"/>
  <c r="G445" i="60"/>
  <c r="F463" i="60"/>
  <c r="I251" i="60"/>
  <c r="F602" i="60"/>
  <c r="I584" i="60"/>
  <c r="F495" i="60"/>
  <c r="I477" i="60"/>
  <c r="I535" i="60"/>
  <c r="F553" i="60"/>
  <c r="G560" i="60" s="1"/>
  <c r="D11" i="11"/>
  <c r="G22" i="17"/>
  <c r="M47" i="9" s="1"/>
  <c r="M27" i="11"/>
  <c r="G41" i="11"/>
  <c r="J41" i="11"/>
  <c r="F37" i="17"/>
  <c r="L37" i="11"/>
  <c r="D390" i="60" s="1"/>
  <c r="G15" i="9" l="1"/>
  <c r="G14" i="9"/>
  <c r="M10" i="11"/>
  <c r="M11" i="11" s="1"/>
  <c r="N14" i="9"/>
  <c r="F484" i="60"/>
  <c r="F542" i="60"/>
  <c r="E384" i="60"/>
  <c r="K380" i="60" s="1"/>
  <c r="L380" i="60" s="1"/>
  <c r="M380" i="60" s="1"/>
  <c r="F506" i="60"/>
  <c r="M37" i="11"/>
  <c r="F574" i="60"/>
  <c r="G501" i="60"/>
  <c r="F592" i="60"/>
  <c r="H607" i="60"/>
  <c r="H566" i="60"/>
  <c r="H573" i="60" s="1"/>
  <c r="F578" i="60"/>
  <c r="G555" i="60"/>
  <c r="I440" i="60"/>
  <c r="F447" i="60"/>
  <c r="G447" i="60"/>
  <c r="H602" i="60"/>
  <c r="H530" i="60"/>
  <c r="I537" i="60" s="1"/>
  <c r="H517" i="60"/>
  <c r="H524" i="60" s="1"/>
  <c r="H513" i="60"/>
  <c r="H567" i="60"/>
  <c r="H574" i="60" s="1"/>
  <c r="H549" i="60"/>
  <c r="H556" i="60" s="1"/>
  <c r="H257" i="60"/>
  <c r="H603" i="60"/>
  <c r="F560" i="60"/>
  <c r="H535" i="60"/>
  <c r="H542" i="60" s="1"/>
  <c r="G502" i="60"/>
  <c r="H499" i="60"/>
  <c r="I506" i="60" s="1"/>
  <c r="H488" i="60"/>
  <c r="I488" i="60"/>
  <c r="H495" i="60"/>
  <c r="I484" i="60"/>
  <c r="H484" i="60"/>
  <c r="F596" i="60"/>
  <c r="F556" i="60"/>
  <c r="F488" i="60"/>
  <c r="F538" i="60"/>
  <c r="F573" i="60"/>
  <c r="H585" i="60"/>
  <c r="H592" i="60" s="1"/>
  <c r="H512" i="60"/>
  <c r="G524" i="60"/>
  <c r="F537" i="60"/>
  <c r="G520" i="60"/>
  <c r="G452" i="60"/>
  <c r="I445" i="60"/>
  <c r="F452" i="60"/>
  <c r="H571" i="60"/>
  <c r="H578" i="60" s="1"/>
  <c r="F483" i="60"/>
  <c r="H531" i="60"/>
  <c r="I538" i="60" s="1"/>
  <c r="H584" i="60"/>
  <c r="H591" i="60" s="1"/>
  <c r="H553" i="60"/>
  <c r="H560" i="60" s="1"/>
  <c r="G591" i="60"/>
  <c r="H589" i="60"/>
  <c r="F519" i="60"/>
  <c r="F502" i="60"/>
  <c r="H494" i="60"/>
  <c r="H501" i="60" s="1"/>
  <c r="H483" i="60"/>
  <c r="I483" i="60"/>
  <c r="F448" i="60"/>
  <c r="G448" i="60"/>
  <c r="I441" i="60"/>
  <c r="G538" i="60"/>
  <c r="H548" i="60"/>
  <c r="H555" i="60" s="1"/>
  <c r="F520" i="60"/>
  <c r="F51" i="60" a="1"/>
  <c r="N15" i="9"/>
  <c r="M29" i="9"/>
  <c r="M28" i="9"/>
  <c r="C665" i="60" s="1"/>
  <c r="D37" i="17"/>
  <c r="C37" i="17"/>
  <c r="N2" i="17"/>
  <c r="N3" i="17" l="1"/>
  <c r="O3" i="17" s="1"/>
  <c r="O2" i="17"/>
  <c r="G384" i="60"/>
  <c r="F384" i="60"/>
  <c r="E390" i="60"/>
  <c r="K382" i="60" s="1"/>
  <c r="L382" i="60" s="1"/>
  <c r="M382" i="60" s="1"/>
  <c r="H51" i="60" a="1"/>
  <c r="C366" i="60" s="1"/>
  <c r="F665" i="60"/>
  <c r="I578" i="60"/>
  <c r="M427" i="60" a="1"/>
  <c r="I573" i="60"/>
  <c r="I556" i="60"/>
  <c r="I542" i="60"/>
  <c r="I555" i="60"/>
  <c r="I592" i="60"/>
  <c r="I524" i="60"/>
  <c r="I591" i="60"/>
  <c r="E256" i="60"/>
  <c r="H458" i="60"/>
  <c r="I447" i="60"/>
  <c r="H447" i="60"/>
  <c r="H459" i="60"/>
  <c r="I448" i="60"/>
  <c r="H448" i="60"/>
  <c r="I560" i="60"/>
  <c r="H463" i="60"/>
  <c r="I452" i="60"/>
  <c r="H452" i="60"/>
  <c r="H506" i="60"/>
  <c r="H520" i="60"/>
  <c r="H538" i="60"/>
  <c r="I520" i="60"/>
  <c r="I574" i="60"/>
  <c r="I502" i="60"/>
  <c r="I596" i="60"/>
  <c r="H537" i="60"/>
  <c r="H502" i="60"/>
  <c r="H519" i="60"/>
  <c r="H596" i="60"/>
  <c r="I501" i="60"/>
  <c r="I519" i="60"/>
  <c r="F51" i="60"/>
  <c r="C327" i="60" s="1"/>
  <c r="C337" i="60"/>
  <c r="C336" i="60"/>
  <c r="C328" i="60"/>
  <c r="C335" i="60"/>
  <c r="E406" i="60"/>
  <c r="C334" i="60"/>
  <c r="C332" i="60"/>
  <c r="C329" i="60"/>
  <c r="C333" i="60"/>
  <c r="C330" i="60"/>
  <c r="C331" i="60"/>
  <c r="C338" i="60"/>
  <c r="M36" i="9"/>
  <c r="M37" i="9"/>
  <c r="D22" i="17"/>
  <c r="J47" i="9" s="1"/>
  <c r="L22" i="11"/>
  <c r="D381" i="60" s="1"/>
  <c r="K22" i="11"/>
  <c r="J28" i="9"/>
  <c r="C662" i="60" l="1"/>
  <c r="G390" i="60"/>
  <c r="F390" i="60"/>
  <c r="C364" i="60"/>
  <c r="C362" i="60"/>
  <c r="C370" i="60"/>
  <c r="H51" i="60"/>
  <c r="C361" i="60" s="1"/>
  <c r="C363" i="60"/>
  <c r="C368" i="60"/>
  <c r="C372" i="60"/>
  <c r="C369" i="60"/>
  <c r="C365" i="60"/>
  <c r="D366" i="60" s="1"/>
  <c r="C371" i="60"/>
  <c r="C367" i="60"/>
  <c r="D367" i="60" s="1"/>
  <c r="E412" i="60"/>
  <c r="F412" i="60" s="1"/>
  <c r="M427" i="60"/>
  <c r="G607" i="60" s="1"/>
  <c r="F625" i="60" s="1"/>
  <c r="D331" i="60"/>
  <c r="D256" i="60"/>
  <c r="E257" i="60"/>
  <c r="D332" i="60"/>
  <c r="D338" i="60"/>
  <c r="D330" i="60"/>
  <c r="D336" i="60"/>
  <c r="D333" i="60"/>
  <c r="D337" i="60"/>
  <c r="D335" i="60"/>
  <c r="D334" i="60"/>
  <c r="F406" i="60"/>
  <c r="G406" i="60"/>
  <c r="D329" i="60"/>
  <c r="D328" i="60"/>
  <c r="M22" i="11"/>
  <c r="L18" i="11"/>
  <c r="D379" i="60" s="1"/>
  <c r="L14" i="11"/>
  <c r="D377" i="60" s="1"/>
  <c r="J36" i="9"/>
  <c r="K32" i="11"/>
  <c r="C22" i="17"/>
  <c r="I47" i="9" s="1"/>
  <c r="I28" i="9"/>
  <c r="K18" i="11"/>
  <c r="J29" i="9"/>
  <c r="F662" i="60" s="1"/>
  <c r="C661" i="60" l="1"/>
  <c r="D362" i="60"/>
  <c r="D370" i="60"/>
  <c r="D364" i="60"/>
  <c r="E415" i="60"/>
  <c r="G415" i="60" s="1"/>
  <c r="D365" i="60"/>
  <c r="G412" i="60"/>
  <c r="D369" i="60"/>
  <c r="D368" i="60"/>
  <c r="G614" i="60"/>
  <c r="D371" i="60"/>
  <c r="D372" i="60"/>
  <c r="D363" i="60"/>
  <c r="F614" i="60"/>
  <c r="C660" i="60"/>
  <c r="E381" i="60"/>
  <c r="K379" i="60" s="1"/>
  <c r="L379" i="60" s="1"/>
  <c r="M379" i="60" s="1"/>
  <c r="D257" i="60"/>
  <c r="G256" i="60"/>
  <c r="I256" i="60" s="1"/>
  <c r="E51" i="60" a="1"/>
  <c r="I29" i="9"/>
  <c r="L32" i="11"/>
  <c r="M14" i="11"/>
  <c r="K41" i="11"/>
  <c r="H21" i="17"/>
  <c r="L45" i="11" s="1"/>
  <c r="J37" i="9"/>
  <c r="H36" i="9"/>
  <c r="I36" i="9"/>
  <c r="M18" i="11"/>
  <c r="F22" i="17"/>
  <c r="L47" i="9" s="1"/>
  <c r="L28" i="9"/>
  <c r="H29" i="9"/>
  <c r="F415" i="60" l="1"/>
  <c r="C664" i="60"/>
  <c r="M422" i="60" a="1"/>
  <c r="M422" i="60" s="1"/>
  <c r="F660" i="60"/>
  <c r="I37" i="9"/>
  <c r="F661" i="60"/>
  <c r="E379" i="60"/>
  <c r="K378" i="60" s="1"/>
  <c r="L378" i="60" s="1"/>
  <c r="M378" i="60" s="1"/>
  <c r="F381" i="60"/>
  <c r="E377" i="60"/>
  <c r="K377" i="60" s="1"/>
  <c r="G381" i="60"/>
  <c r="C51" i="60" a="1"/>
  <c r="C286" i="60" s="1"/>
  <c r="G257" i="60"/>
  <c r="I257" i="60" s="1"/>
  <c r="M423" i="60" a="1"/>
  <c r="E51" i="60"/>
  <c r="C310" i="60" s="1"/>
  <c r="C317" i="60"/>
  <c r="C315" i="60"/>
  <c r="C320" i="60"/>
  <c r="C314" i="60"/>
  <c r="C312" i="60"/>
  <c r="C321" i="60"/>
  <c r="C313" i="60"/>
  <c r="C318" i="60"/>
  <c r="E403" i="60"/>
  <c r="C319" i="60"/>
  <c r="C311" i="60"/>
  <c r="C316" i="60"/>
  <c r="L41" i="11"/>
  <c r="D387" i="60"/>
  <c r="D392" i="60" s="1"/>
  <c r="D51" i="60" a="1"/>
  <c r="H22" i="17"/>
  <c r="M45" i="11" s="1"/>
  <c r="H37" i="9"/>
  <c r="L36" i="9"/>
  <c r="M32" i="11"/>
  <c r="L29" i="9"/>
  <c r="F664" i="60" s="1"/>
  <c r="K28" i="9"/>
  <c r="G28" i="9" s="1"/>
  <c r="L377" i="60" l="1"/>
  <c r="C663" i="60"/>
  <c r="G379" i="60"/>
  <c r="F379" i="60"/>
  <c r="F377" i="60"/>
  <c r="G377" i="60"/>
  <c r="E387" i="60"/>
  <c r="K381" i="60" s="1"/>
  <c r="L381" i="60" s="1"/>
  <c r="M381" i="60" s="1"/>
  <c r="E399" i="60"/>
  <c r="G399" i="60" s="1"/>
  <c r="C279" i="60"/>
  <c r="C51" i="60"/>
  <c r="C276" i="60" s="1"/>
  <c r="D319" i="60"/>
  <c r="D313" i="60"/>
  <c r="M423" i="60"/>
  <c r="D315" i="60"/>
  <c r="C282" i="60"/>
  <c r="C277" i="60"/>
  <c r="C280" i="60"/>
  <c r="C284" i="60"/>
  <c r="C281" i="60"/>
  <c r="C278" i="60"/>
  <c r="C283" i="60"/>
  <c r="D317" i="60"/>
  <c r="C285" i="60"/>
  <c r="D286" i="60" s="1"/>
  <c r="C287" i="60"/>
  <c r="D287" i="60" s="1"/>
  <c r="D311" i="60"/>
  <c r="D320" i="60"/>
  <c r="D318" i="60"/>
  <c r="D51" i="60"/>
  <c r="C293" i="60" s="1"/>
  <c r="C303" i="60"/>
  <c r="C302" i="60"/>
  <c r="C294" i="60"/>
  <c r="C296" i="60"/>
  <c r="E401" i="60"/>
  <c r="C301" i="60"/>
  <c r="C299" i="60"/>
  <c r="C304" i="60"/>
  <c r="C295" i="60"/>
  <c r="C300" i="60"/>
  <c r="C297" i="60"/>
  <c r="C298" i="60"/>
  <c r="G51" i="60" a="1"/>
  <c r="D440" i="60" s="1" a="1"/>
  <c r="F403" i="60"/>
  <c r="G403" i="60"/>
  <c r="D321" i="60"/>
  <c r="D312" i="60"/>
  <c r="D316" i="60"/>
  <c r="D314" i="60"/>
  <c r="M41" i="11"/>
  <c r="K36" i="9"/>
  <c r="N36" i="9" s="1"/>
  <c r="L37" i="9"/>
  <c r="K29" i="9"/>
  <c r="D280" i="60" l="1"/>
  <c r="K383" i="60"/>
  <c r="M377" i="60"/>
  <c r="L383" i="60"/>
  <c r="M383" i="60" s="1"/>
  <c r="F663" i="60"/>
  <c r="F387" i="60"/>
  <c r="E392" i="60"/>
  <c r="F392" i="60" s="1"/>
  <c r="F399" i="60"/>
  <c r="G387" i="60"/>
  <c r="D283" i="60"/>
  <c r="D279" i="60"/>
  <c r="D298" i="60"/>
  <c r="D277" i="60"/>
  <c r="D494" i="60" a="1"/>
  <c r="C516" i="60" s="1"/>
  <c r="D476" i="60" a="1"/>
  <c r="C498" i="60" s="1"/>
  <c r="D285" i="60"/>
  <c r="D584" i="60" a="1"/>
  <c r="C607" i="60" s="1"/>
  <c r="D602" i="60" a="1"/>
  <c r="C624" i="60" s="1"/>
  <c r="D530" i="60" a="1"/>
  <c r="D530" i="60" s="1"/>
  <c r="D282" i="60"/>
  <c r="D512" i="60" a="1"/>
  <c r="K517" i="60" s="1"/>
  <c r="D566" i="60" a="1"/>
  <c r="K567" i="60" s="1"/>
  <c r="D281" i="60"/>
  <c r="D620" i="60" a="1"/>
  <c r="C463" i="60"/>
  <c r="C460" i="60"/>
  <c r="C459" i="60"/>
  <c r="C462" i="60"/>
  <c r="C461" i="60"/>
  <c r="D548" i="60" a="1"/>
  <c r="D278" i="60"/>
  <c r="D284" i="60"/>
  <c r="D458" i="60" a="1"/>
  <c r="D301" i="60"/>
  <c r="D440" i="60"/>
  <c r="C458" i="60" s="1"/>
  <c r="C448" i="60"/>
  <c r="C452" i="60"/>
  <c r="C681" i="60" s="1"/>
  <c r="D448" i="60"/>
  <c r="D452" i="60"/>
  <c r="C449" i="60"/>
  <c r="D449" i="60"/>
  <c r="D451" i="60"/>
  <c r="C450" i="60"/>
  <c r="C451" i="60"/>
  <c r="C680" i="60" s="1"/>
  <c r="D450" i="60"/>
  <c r="K441" i="60"/>
  <c r="K445" i="60"/>
  <c r="M445" i="60"/>
  <c r="M441" i="60"/>
  <c r="D296" i="60"/>
  <c r="D294" i="60"/>
  <c r="D303" i="60"/>
  <c r="D299" i="60"/>
  <c r="G51" i="60"/>
  <c r="E409" i="60"/>
  <c r="C349" i="60"/>
  <c r="C348" i="60"/>
  <c r="C355" i="60"/>
  <c r="C347" i="60"/>
  <c r="C350" i="60"/>
  <c r="C354" i="60"/>
  <c r="C346" i="60"/>
  <c r="C353" i="60"/>
  <c r="C345" i="60"/>
  <c r="C352" i="60"/>
  <c r="C351" i="60"/>
  <c r="I62" i="60"/>
  <c r="S19" i="60" s="1"/>
  <c r="I54" i="60"/>
  <c r="S11" i="60" s="1"/>
  <c r="I52" i="60"/>
  <c r="S9" i="60" s="1"/>
  <c r="I56" i="60"/>
  <c r="S13" i="60" s="1"/>
  <c r="I57" i="60"/>
  <c r="S14" i="60" s="1"/>
  <c r="I58" i="60"/>
  <c r="S15" i="60" s="1"/>
  <c r="I53" i="60"/>
  <c r="S10" i="60" s="1"/>
  <c r="I61" i="60"/>
  <c r="S18" i="60" s="1"/>
  <c r="I60" i="60"/>
  <c r="S17" i="60" s="1"/>
  <c r="I55" i="60"/>
  <c r="S12" i="60" s="1"/>
  <c r="I59" i="60"/>
  <c r="S16" i="60" s="1"/>
  <c r="F401" i="60"/>
  <c r="G401" i="60"/>
  <c r="D297" i="60"/>
  <c r="D300" i="60"/>
  <c r="D302" i="60"/>
  <c r="D295" i="60"/>
  <c r="D304" i="60"/>
  <c r="K37" i="9"/>
  <c r="N37" i="9" s="1"/>
  <c r="G29" i="9"/>
  <c r="D505" i="60" l="1"/>
  <c r="T12" i="60"/>
  <c r="U12" i="60" s="1"/>
  <c r="C685" i="60"/>
  <c r="D670" i="60"/>
  <c r="D674" i="60"/>
  <c r="E674" i="60" s="1"/>
  <c r="F674" i="60" s="1"/>
  <c r="D672" i="60"/>
  <c r="D671" i="60"/>
  <c r="D673" i="60"/>
  <c r="G392" i="60"/>
  <c r="K513" i="60"/>
  <c r="C517" i="60"/>
  <c r="D524" i="60" s="1"/>
  <c r="C513" i="60"/>
  <c r="C520" i="60" s="1"/>
  <c r="K499" i="60"/>
  <c r="C534" i="60"/>
  <c r="C541" i="60" s="1"/>
  <c r="T19" i="60"/>
  <c r="U19" i="60" s="1"/>
  <c r="C604" i="60"/>
  <c r="C611" i="60" s="1"/>
  <c r="M477" i="60"/>
  <c r="D494" i="60"/>
  <c r="M494" i="60" s="1"/>
  <c r="C499" i="60"/>
  <c r="D506" i="60" s="1"/>
  <c r="M495" i="60"/>
  <c r="C496" i="60"/>
  <c r="C503" i="60" s="1"/>
  <c r="K495" i="60"/>
  <c r="D476" i="60"/>
  <c r="C494" i="60" s="1"/>
  <c r="D584" i="60"/>
  <c r="C602" i="60" s="1"/>
  <c r="M481" i="60"/>
  <c r="C588" i="60"/>
  <c r="C595" i="60" s="1"/>
  <c r="C585" i="60"/>
  <c r="C592" i="60" s="1"/>
  <c r="M585" i="60"/>
  <c r="C515" i="60"/>
  <c r="C522" i="60" s="1"/>
  <c r="K481" i="60"/>
  <c r="C587" i="60"/>
  <c r="D594" i="60" s="1"/>
  <c r="M513" i="60"/>
  <c r="M589" i="60"/>
  <c r="D602" i="60"/>
  <c r="C514" i="60"/>
  <c r="D521" i="60" s="1"/>
  <c r="C497" i="60"/>
  <c r="D504" i="60" s="1"/>
  <c r="C606" i="60"/>
  <c r="C613" i="60" s="1"/>
  <c r="C605" i="60"/>
  <c r="D612" i="60" s="1"/>
  <c r="C533" i="60"/>
  <c r="C540" i="60" s="1"/>
  <c r="K477" i="60"/>
  <c r="K585" i="60"/>
  <c r="M499" i="60"/>
  <c r="C495" i="60"/>
  <c r="L495" i="60" s="1"/>
  <c r="K531" i="60"/>
  <c r="C625" i="60"/>
  <c r="J625" i="60" s="1"/>
  <c r="C551" i="60"/>
  <c r="D558" i="60" s="1"/>
  <c r="C623" i="60"/>
  <c r="D630" i="60" s="1"/>
  <c r="D679" i="60" s="1"/>
  <c r="C553" i="60"/>
  <c r="C560" i="60" s="1"/>
  <c r="K589" i="60"/>
  <c r="D614" i="60"/>
  <c r="C603" i="60"/>
  <c r="C610" i="60" s="1"/>
  <c r="K607" i="60"/>
  <c r="C622" i="60"/>
  <c r="D629" i="60" s="1"/>
  <c r="C621" i="60"/>
  <c r="C628" i="60" s="1"/>
  <c r="C549" i="60"/>
  <c r="D556" i="60" s="1"/>
  <c r="C589" i="60"/>
  <c r="D596" i="60" s="1"/>
  <c r="C531" i="60"/>
  <c r="D538" i="60" s="1"/>
  <c r="M571" i="60"/>
  <c r="C532" i="60"/>
  <c r="C539" i="60" s="1"/>
  <c r="C586" i="60"/>
  <c r="M567" i="60"/>
  <c r="D566" i="60"/>
  <c r="C584" i="60" s="1"/>
  <c r="C535" i="60"/>
  <c r="D542" i="60" s="1"/>
  <c r="M535" i="60"/>
  <c r="C550" i="60"/>
  <c r="C557" i="60" s="1"/>
  <c r="K571" i="60"/>
  <c r="D512" i="60"/>
  <c r="M512" i="60" s="1"/>
  <c r="M531" i="60"/>
  <c r="C552" i="60"/>
  <c r="D559" i="60" s="1"/>
  <c r="T15" i="60"/>
  <c r="U15" i="60" s="1"/>
  <c r="M517" i="60"/>
  <c r="K535" i="60"/>
  <c r="D620" i="60"/>
  <c r="D669" i="60" s="1"/>
  <c r="D631" i="60"/>
  <c r="D680" i="60" s="1"/>
  <c r="E680" i="60" s="1"/>
  <c r="F680" i="60" s="1"/>
  <c r="C631" i="60"/>
  <c r="T14" i="60"/>
  <c r="U14" i="60" s="1"/>
  <c r="J463" i="60"/>
  <c r="L463" i="60"/>
  <c r="D548" i="60"/>
  <c r="C571" i="60"/>
  <c r="C569" i="60"/>
  <c r="C567" i="60"/>
  <c r="C570" i="60"/>
  <c r="C568" i="60"/>
  <c r="K549" i="60"/>
  <c r="K553" i="60"/>
  <c r="M553" i="60"/>
  <c r="M549" i="60"/>
  <c r="C523" i="60"/>
  <c r="J607" i="60"/>
  <c r="L607" i="60"/>
  <c r="C614" i="60"/>
  <c r="C505" i="60"/>
  <c r="J458" i="60"/>
  <c r="L458" i="60"/>
  <c r="D458" i="60"/>
  <c r="C478" i="60"/>
  <c r="C477" i="60"/>
  <c r="C481" i="60"/>
  <c r="C479" i="60"/>
  <c r="C480" i="60"/>
  <c r="D469" i="60"/>
  <c r="D467" i="60"/>
  <c r="C470" i="60"/>
  <c r="D468" i="60"/>
  <c r="C467" i="60"/>
  <c r="C466" i="60"/>
  <c r="D470" i="60"/>
  <c r="C468" i="60"/>
  <c r="D466" i="60"/>
  <c r="C469" i="60"/>
  <c r="D523" i="60"/>
  <c r="J459" i="60"/>
  <c r="L459" i="60"/>
  <c r="C548" i="60"/>
  <c r="K530" i="60"/>
  <c r="M530" i="60"/>
  <c r="L452" i="60"/>
  <c r="M452" i="60"/>
  <c r="K463" i="60"/>
  <c r="G470" i="60"/>
  <c r="F470" i="60"/>
  <c r="T11" i="60"/>
  <c r="U11" i="60" s="1"/>
  <c r="J452" i="60"/>
  <c r="K452" i="60"/>
  <c r="M448" i="60"/>
  <c r="L448" i="60"/>
  <c r="K448" i="60"/>
  <c r="J448" i="60"/>
  <c r="D447" i="60"/>
  <c r="C447" i="60"/>
  <c r="K440" i="60"/>
  <c r="M440" i="60"/>
  <c r="G466" i="60"/>
  <c r="F466" i="60"/>
  <c r="K459" i="60"/>
  <c r="D347" i="60"/>
  <c r="T17" i="60"/>
  <c r="U17" i="60" s="1"/>
  <c r="T18" i="60"/>
  <c r="U18" i="60" s="1"/>
  <c r="T16" i="60"/>
  <c r="U16" i="60" s="1"/>
  <c r="D354" i="60"/>
  <c r="D350" i="60"/>
  <c r="D348" i="60"/>
  <c r="D351" i="60"/>
  <c r="T10" i="60"/>
  <c r="U10" i="60" s="1"/>
  <c r="D349" i="60"/>
  <c r="D352" i="60"/>
  <c r="D353" i="60"/>
  <c r="G409" i="60"/>
  <c r="F409" i="60"/>
  <c r="E414" i="60"/>
  <c r="D355" i="60"/>
  <c r="T13" i="60"/>
  <c r="U13" i="60" s="1"/>
  <c r="D346" i="60"/>
  <c r="C344" i="60"/>
  <c r="D345" i="60" s="1"/>
  <c r="I51" i="60"/>
  <c r="S8" i="60" s="1"/>
  <c r="T9" i="60" s="1"/>
  <c r="U9" i="60" s="1"/>
  <c r="I29" i="11"/>
  <c r="E669" i="60" l="1"/>
  <c r="F669" i="60" s="1"/>
  <c r="D675" i="60"/>
  <c r="E679" i="60"/>
  <c r="F679" i="60" s="1"/>
  <c r="E673" i="60"/>
  <c r="F673" i="60" s="1"/>
  <c r="E671" i="60"/>
  <c r="F671" i="60" s="1"/>
  <c r="E672" i="60"/>
  <c r="F672" i="60" s="1"/>
  <c r="E670" i="60"/>
  <c r="F670" i="60" s="1"/>
  <c r="L517" i="60"/>
  <c r="M524" i="60" s="1"/>
  <c r="J517" i="60"/>
  <c r="K524" i="60" s="1"/>
  <c r="D520" i="60"/>
  <c r="L513" i="60"/>
  <c r="M520" i="60" s="1"/>
  <c r="J513" i="60"/>
  <c r="K520" i="60" s="1"/>
  <c r="C524" i="60"/>
  <c r="D541" i="60"/>
  <c r="M584" i="60"/>
  <c r="K584" i="60"/>
  <c r="J603" i="60"/>
  <c r="D611" i="60"/>
  <c r="K494" i="60"/>
  <c r="D591" i="60"/>
  <c r="C556" i="60"/>
  <c r="C612" i="60"/>
  <c r="C512" i="60"/>
  <c r="C519" i="60" s="1"/>
  <c r="C620" i="60"/>
  <c r="D627" i="60" s="1"/>
  <c r="C558" i="60"/>
  <c r="L553" i="60"/>
  <c r="M560" i="60" s="1"/>
  <c r="D540" i="60"/>
  <c r="D613" i="60"/>
  <c r="M566" i="60"/>
  <c r="C594" i="60"/>
  <c r="K566" i="60"/>
  <c r="L499" i="60"/>
  <c r="M506" i="60" s="1"/>
  <c r="L549" i="60"/>
  <c r="L556" i="60" s="1"/>
  <c r="J499" i="60"/>
  <c r="J506" i="60" s="1"/>
  <c r="J549" i="60"/>
  <c r="K556" i="60" s="1"/>
  <c r="K512" i="60"/>
  <c r="J553" i="60"/>
  <c r="K560" i="60" s="1"/>
  <c r="C538" i="60"/>
  <c r="L531" i="60"/>
  <c r="M538" i="60" s="1"/>
  <c r="K614" i="60"/>
  <c r="D560" i="60"/>
  <c r="J531" i="60"/>
  <c r="J538" i="60" s="1"/>
  <c r="D628" i="60"/>
  <c r="K476" i="60"/>
  <c r="L589" i="60"/>
  <c r="M596" i="60" s="1"/>
  <c r="D595" i="60"/>
  <c r="C506" i="60"/>
  <c r="M476" i="60"/>
  <c r="J495" i="60"/>
  <c r="J502" i="60" s="1"/>
  <c r="J535" i="60"/>
  <c r="K542" i="60" s="1"/>
  <c r="C559" i="60"/>
  <c r="D503" i="60"/>
  <c r="M502" i="60"/>
  <c r="L502" i="60"/>
  <c r="C629" i="60"/>
  <c r="D592" i="60"/>
  <c r="C504" i="60"/>
  <c r="J585" i="60"/>
  <c r="K592" i="60" s="1"/>
  <c r="D502" i="60"/>
  <c r="C521" i="60"/>
  <c r="C530" i="60"/>
  <c r="C537" i="60" s="1"/>
  <c r="L585" i="60"/>
  <c r="L592" i="60" s="1"/>
  <c r="C502" i="60"/>
  <c r="D539" i="60"/>
  <c r="D557" i="60"/>
  <c r="C630" i="60"/>
  <c r="J589" i="60"/>
  <c r="J596" i="60" s="1"/>
  <c r="D522" i="60"/>
  <c r="L603" i="60"/>
  <c r="C632" i="60"/>
  <c r="J614" i="60"/>
  <c r="D632" i="60"/>
  <c r="D681" i="60" s="1"/>
  <c r="D685" i="60" s="1"/>
  <c r="E685" i="60" s="1"/>
  <c r="F685" i="60" s="1"/>
  <c r="D610" i="60"/>
  <c r="C593" i="60"/>
  <c r="D593" i="60"/>
  <c r="C542" i="60"/>
  <c r="L535" i="60"/>
  <c r="M542" i="60" s="1"/>
  <c r="C596" i="60"/>
  <c r="J567" i="60"/>
  <c r="L567" i="60"/>
  <c r="D574" i="60"/>
  <c r="C574" i="60"/>
  <c r="J494" i="60"/>
  <c r="L494" i="60"/>
  <c r="M501" i="60" s="1"/>
  <c r="L548" i="60"/>
  <c r="J548" i="60"/>
  <c r="C487" i="60"/>
  <c r="D487" i="60"/>
  <c r="C591" i="60"/>
  <c r="D576" i="60"/>
  <c r="C576" i="60"/>
  <c r="D486" i="60"/>
  <c r="C486" i="60"/>
  <c r="J571" i="60"/>
  <c r="L571" i="60"/>
  <c r="D578" i="60"/>
  <c r="C578" i="60"/>
  <c r="D501" i="60"/>
  <c r="C476" i="60"/>
  <c r="D465" i="60"/>
  <c r="C465" i="60"/>
  <c r="L481" i="60"/>
  <c r="J481" i="60"/>
  <c r="C488" i="60"/>
  <c r="D488" i="60"/>
  <c r="L602" i="60"/>
  <c r="J602" i="60"/>
  <c r="C566" i="60"/>
  <c r="C555" i="60"/>
  <c r="D555" i="60"/>
  <c r="K548" i="60"/>
  <c r="M548" i="60"/>
  <c r="C501" i="60"/>
  <c r="L584" i="60"/>
  <c r="J584" i="60"/>
  <c r="J477" i="60"/>
  <c r="L477" i="60"/>
  <c r="C484" i="60"/>
  <c r="D484" i="60"/>
  <c r="C609" i="60"/>
  <c r="C575" i="60"/>
  <c r="D575" i="60"/>
  <c r="D485" i="60"/>
  <c r="C485" i="60"/>
  <c r="D609" i="60"/>
  <c r="C577" i="60"/>
  <c r="D577" i="60"/>
  <c r="K466" i="60"/>
  <c r="J466" i="60"/>
  <c r="M459" i="60"/>
  <c r="H466" i="60"/>
  <c r="I466" i="60"/>
  <c r="G465" i="60"/>
  <c r="F465" i="60"/>
  <c r="K458" i="60"/>
  <c r="M447" i="60"/>
  <c r="L447" i="60"/>
  <c r="I470" i="60"/>
  <c r="M463" i="60"/>
  <c r="H470" i="60"/>
  <c r="K470" i="60"/>
  <c r="J470" i="60"/>
  <c r="J447" i="60"/>
  <c r="K447" i="60"/>
  <c r="G414" i="60"/>
  <c r="F414" i="60"/>
  <c r="I34" i="11"/>
  <c r="I24" i="11"/>
  <c r="L520" i="60" l="1"/>
  <c r="J520" i="60"/>
  <c r="J524" i="60"/>
  <c r="E675" i="60"/>
  <c r="F675" i="60" s="1"/>
  <c r="L524" i="60"/>
  <c r="E681" i="60"/>
  <c r="F681" i="60" s="1"/>
  <c r="C627" i="60"/>
  <c r="J560" i="60"/>
  <c r="L512" i="60"/>
  <c r="M519" i="60" s="1"/>
  <c r="M591" i="60"/>
  <c r="K591" i="60"/>
  <c r="J556" i="60"/>
  <c r="L506" i="60"/>
  <c r="J512" i="60"/>
  <c r="J519" i="60" s="1"/>
  <c r="K506" i="60"/>
  <c r="K501" i="60"/>
  <c r="M556" i="60"/>
  <c r="L560" i="60"/>
  <c r="D519" i="60"/>
  <c r="K502" i="60"/>
  <c r="L538" i="60"/>
  <c r="K596" i="60"/>
  <c r="J592" i="60"/>
  <c r="D537" i="60"/>
  <c r="L530" i="60"/>
  <c r="J530" i="60"/>
  <c r="M592" i="60"/>
  <c r="J542" i="60"/>
  <c r="K538" i="60"/>
  <c r="L596" i="60"/>
  <c r="L542" i="60"/>
  <c r="J578" i="60"/>
  <c r="K578" i="60"/>
  <c r="L488" i="60"/>
  <c r="M488" i="60"/>
  <c r="L501" i="60"/>
  <c r="L555" i="60"/>
  <c r="M555" i="60"/>
  <c r="K484" i="60"/>
  <c r="J484" i="60"/>
  <c r="K555" i="60"/>
  <c r="J555" i="60"/>
  <c r="J501" i="60"/>
  <c r="M574" i="60"/>
  <c r="L574" i="60"/>
  <c r="J488" i="60"/>
  <c r="K488" i="60"/>
  <c r="L476" i="60"/>
  <c r="J476" i="60"/>
  <c r="D483" i="60"/>
  <c r="C483" i="60"/>
  <c r="J591" i="60"/>
  <c r="K574" i="60"/>
  <c r="J574" i="60"/>
  <c r="L484" i="60"/>
  <c r="M484" i="60"/>
  <c r="L591" i="60"/>
  <c r="L566" i="60"/>
  <c r="J566" i="60"/>
  <c r="D573" i="60"/>
  <c r="C573" i="60"/>
  <c r="M578" i="60"/>
  <c r="L578" i="60"/>
  <c r="M470" i="60"/>
  <c r="L470" i="60"/>
  <c r="J465" i="60"/>
  <c r="K465" i="60"/>
  <c r="M466" i="60"/>
  <c r="L466" i="60"/>
  <c r="I465" i="60"/>
  <c r="H465" i="60"/>
  <c r="M458" i="60"/>
  <c r="I43" i="11"/>
  <c r="L519" i="60" l="1"/>
  <c r="K519" i="60"/>
  <c r="L537" i="60"/>
  <c r="M537" i="60"/>
  <c r="K537" i="60"/>
  <c r="J537" i="60"/>
  <c r="J483" i="60"/>
  <c r="K483" i="60"/>
  <c r="K573" i="60"/>
  <c r="J573" i="60"/>
  <c r="M573" i="60"/>
  <c r="L573" i="60"/>
  <c r="L483" i="60"/>
  <c r="M483" i="60"/>
  <c r="L465" i="60"/>
  <c r="M465" i="60"/>
  <c r="D85" i="60"/>
  <c r="D103" i="60"/>
  <c r="M108" i="60"/>
  <c r="N109" i="60"/>
  <c r="L100" i="60"/>
  <c r="D106" i="60"/>
  <c r="L108" i="60"/>
  <c r="E101" i="60"/>
  <c r="M103" i="60"/>
  <c r="I106" i="60"/>
  <c r="E109" i="60"/>
  <c r="F102" i="60"/>
  <c r="N104" i="60"/>
  <c r="J107" i="60"/>
  <c r="G100" i="60"/>
  <c r="C103" i="60"/>
  <c r="K105" i="60"/>
  <c r="G108" i="60"/>
  <c r="E106" i="60"/>
  <c r="F107" i="60"/>
  <c r="H103" i="60"/>
  <c r="L103" i="60"/>
  <c r="H106" i="60"/>
  <c r="D109" i="60"/>
  <c r="I101" i="60"/>
  <c r="E104" i="60"/>
  <c r="M106" i="60"/>
  <c r="I109" i="60"/>
  <c r="J102" i="60"/>
  <c r="F105" i="60"/>
  <c r="N107" i="60"/>
  <c r="K100" i="60"/>
  <c r="G103" i="60"/>
  <c r="C106" i="60"/>
  <c r="K108" i="60"/>
  <c r="H108" i="60"/>
  <c r="N101" i="60"/>
  <c r="K102" i="60"/>
  <c r="D101" i="60"/>
  <c r="H101" i="60"/>
  <c r="D104" i="60"/>
  <c r="L106" i="60"/>
  <c r="H109" i="60"/>
  <c r="M101" i="60"/>
  <c r="I104" i="60"/>
  <c r="E107" i="60"/>
  <c r="M109" i="60"/>
  <c r="F100" i="60"/>
  <c r="N102" i="60"/>
  <c r="J105" i="60"/>
  <c r="F108" i="60"/>
  <c r="C101" i="60"/>
  <c r="K103" i="60"/>
  <c r="G106" i="60"/>
  <c r="C109" i="60"/>
  <c r="I103" i="60"/>
  <c r="J104" i="60"/>
  <c r="G105" i="60"/>
  <c r="L101" i="60"/>
  <c r="H104" i="60"/>
  <c r="D107" i="60"/>
  <c r="L109" i="60"/>
  <c r="E102" i="60"/>
  <c r="M104" i="60"/>
  <c r="I107" i="60"/>
  <c r="J100" i="60"/>
  <c r="F103" i="60"/>
  <c r="N105" i="60"/>
  <c r="J108" i="60"/>
  <c r="G101" i="60"/>
  <c r="C104" i="60"/>
  <c r="K106" i="60"/>
  <c r="G109" i="60"/>
  <c r="L105" i="60"/>
  <c r="L104" i="60"/>
  <c r="H107" i="60"/>
  <c r="I102" i="60"/>
  <c r="E105" i="60"/>
  <c r="M107" i="60"/>
  <c r="N100" i="60"/>
  <c r="J103" i="60"/>
  <c r="F106" i="60"/>
  <c r="N108" i="60"/>
  <c r="C100" i="60"/>
  <c r="K101" i="60"/>
  <c r="G104" i="60"/>
  <c r="C107" i="60"/>
  <c r="K109" i="60"/>
  <c r="H100" i="60"/>
  <c r="M100" i="60"/>
  <c r="H102" i="60"/>
  <c r="D105" i="60"/>
  <c r="L107" i="60"/>
  <c r="E100" i="60"/>
  <c r="M102" i="60"/>
  <c r="I105" i="60"/>
  <c r="E108" i="60"/>
  <c r="F101" i="60"/>
  <c r="N103" i="60"/>
  <c r="J106" i="60"/>
  <c r="F109" i="60"/>
  <c r="C102" i="60"/>
  <c r="K104" i="60"/>
  <c r="G107" i="60"/>
  <c r="D102" i="60"/>
  <c r="D100" i="60"/>
  <c r="L102" i="60"/>
  <c r="H105" i="60"/>
  <c r="D108" i="60"/>
  <c r="I100" i="60"/>
  <c r="E103" i="60"/>
  <c r="M105" i="60"/>
  <c r="I108" i="60"/>
  <c r="J101" i="60"/>
  <c r="F104" i="60"/>
  <c r="N106" i="60"/>
  <c r="J109" i="60"/>
  <c r="G102" i="60"/>
  <c r="C105" i="60"/>
  <c r="K107" i="60"/>
  <c r="C108" i="60"/>
  <c r="D92" i="60"/>
  <c r="M87" i="60"/>
  <c r="J90" i="60"/>
  <c r="L87" i="60"/>
  <c r="D93" i="60"/>
  <c r="H85" i="60"/>
  <c r="D88" i="60"/>
  <c r="L90" i="60"/>
  <c r="H93" i="60"/>
  <c r="I86" i="60"/>
  <c r="E89" i="60"/>
  <c r="J86" i="60"/>
  <c r="F89" i="60"/>
  <c r="N91" i="60"/>
  <c r="J94" i="60"/>
  <c r="M92" i="60"/>
  <c r="K87" i="60"/>
  <c r="G90" i="60"/>
  <c r="C93" i="60"/>
  <c r="L85" i="60"/>
  <c r="H88" i="60"/>
  <c r="D91" i="60"/>
  <c r="L93" i="60"/>
  <c r="M86" i="60"/>
  <c r="I89" i="60"/>
  <c r="M91" i="60"/>
  <c r="N86" i="60"/>
  <c r="J89" i="60"/>
  <c r="F92" i="60"/>
  <c r="N94" i="60"/>
  <c r="E93" i="60"/>
  <c r="G85" i="60"/>
  <c r="C88" i="60"/>
  <c r="K90" i="60"/>
  <c r="G93" i="60"/>
  <c r="L94" i="60"/>
  <c r="I90" i="60"/>
  <c r="C85" i="60"/>
  <c r="D86" i="60"/>
  <c r="L88" i="60"/>
  <c r="H91" i="60"/>
  <c r="D94" i="60"/>
  <c r="E91" i="60"/>
  <c r="E87" i="60"/>
  <c r="M89" i="60"/>
  <c r="E94" i="60"/>
  <c r="F87" i="60"/>
  <c r="N89" i="60"/>
  <c r="J92" i="60"/>
  <c r="K85" i="60"/>
  <c r="G88" i="60"/>
  <c r="C91" i="60"/>
  <c r="K93" i="60"/>
  <c r="H86" i="60"/>
  <c r="D89" i="60"/>
  <c r="L91" i="60"/>
  <c r="H94" i="60"/>
  <c r="M90" i="60"/>
  <c r="I94" i="60"/>
  <c r="I87" i="60"/>
  <c r="E90" i="60"/>
  <c r="J87" i="60"/>
  <c r="F90" i="60"/>
  <c r="N92" i="60"/>
  <c r="C86" i="60"/>
  <c r="K88" i="60"/>
  <c r="G91" i="60"/>
  <c r="C94" i="60"/>
  <c r="I91" i="60"/>
  <c r="H89" i="60"/>
  <c r="E85" i="60"/>
  <c r="N87" i="60"/>
  <c r="G86" i="60"/>
  <c r="G94" i="60"/>
  <c r="M93" i="60"/>
  <c r="C89" i="60"/>
  <c r="D87" i="60"/>
  <c r="H92" i="60"/>
  <c r="I85" i="60"/>
  <c r="E88" i="60"/>
  <c r="J85" i="60"/>
  <c r="F88" i="60"/>
  <c r="N90" i="60"/>
  <c r="J93" i="60"/>
  <c r="K86" i="60"/>
  <c r="G89" i="60"/>
  <c r="C92" i="60"/>
  <c r="K94" i="60"/>
  <c r="E92" i="60"/>
  <c r="L86" i="60"/>
  <c r="I93" i="60"/>
  <c r="F85" i="60"/>
  <c r="F93" i="60"/>
  <c r="K91" i="60"/>
  <c r="L89" i="60"/>
  <c r="H87" i="60"/>
  <c r="D90" i="60"/>
  <c r="L92" i="60"/>
  <c r="M85" i="60"/>
  <c r="I88" i="60"/>
  <c r="N85" i="60"/>
  <c r="J88" i="60"/>
  <c r="F91" i="60"/>
  <c r="N93" i="60"/>
  <c r="I92" i="60"/>
  <c r="C87" i="60"/>
  <c r="K89" i="60"/>
  <c r="G92" i="60"/>
  <c r="M94" i="60"/>
  <c r="H90" i="60"/>
  <c r="E86" i="60"/>
  <c r="M88" i="60"/>
  <c r="F86" i="60"/>
  <c r="N88" i="60"/>
  <c r="J91" i="60"/>
  <c r="F94" i="60"/>
  <c r="G87" i="60"/>
  <c r="C90" i="60"/>
  <c r="K92" i="60"/>
  <c r="O105" i="60" l="1"/>
  <c r="O90" i="60"/>
  <c r="O108" i="60"/>
  <c r="O92" i="60"/>
  <c r="O103" i="60"/>
  <c r="O85" i="60"/>
  <c r="O107" i="60"/>
  <c r="O104" i="60"/>
  <c r="O109" i="60"/>
  <c r="O102" i="60"/>
  <c r="O89" i="60"/>
  <c r="O94" i="60"/>
  <c r="O91" i="60"/>
  <c r="P91" i="60" s="1"/>
  <c r="O93" i="60"/>
  <c r="P93" i="60" s="1"/>
  <c r="O100" i="60"/>
  <c r="O101" i="60"/>
  <c r="O87" i="60"/>
  <c r="O86" i="60"/>
  <c r="O88" i="60"/>
  <c r="O106" i="60"/>
  <c r="H110" i="60"/>
  <c r="L110" i="60"/>
  <c r="C110" i="60"/>
  <c r="F110" i="60"/>
  <c r="K110" i="60"/>
  <c r="N110" i="60"/>
  <c r="G110" i="60"/>
  <c r="I110" i="60"/>
  <c r="E110" i="60"/>
  <c r="D110" i="60"/>
  <c r="M110" i="60"/>
  <c r="J110" i="60"/>
  <c r="F95" i="60"/>
  <c r="M95" i="60"/>
  <c r="D95" i="60"/>
  <c r="G95" i="60"/>
  <c r="L95" i="60"/>
  <c r="I95" i="60"/>
  <c r="E95" i="60"/>
  <c r="K95" i="60"/>
  <c r="H95" i="60"/>
  <c r="C95" i="60"/>
  <c r="N95" i="60"/>
  <c r="J95" i="60"/>
  <c r="P94" i="60" l="1"/>
  <c r="P90" i="60"/>
  <c r="P92" i="60"/>
  <c r="P85" i="60"/>
  <c r="P89" i="60"/>
  <c r="P86" i="60"/>
  <c r="P88" i="60"/>
  <c r="P87" i="60"/>
  <c r="O95" i="60"/>
  <c r="O110" i="60"/>
  <c r="D11" i="9"/>
  <c r="E11" i="9" s="1"/>
  <c r="D6" i="9"/>
  <c r="E6" i="9" s="1"/>
  <c r="G6" i="11"/>
  <c r="B6" i="11"/>
  <c r="D9" i="9"/>
  <c r="E9" i="9" s="1"/>
  <c r="D6" i="11"/>
  <c r="I6" i="11"/>
  <c r="D8" i="9"/>
  <c r="E8" i="9" s="1"/>
  <c r="P95" i="60" l="1"/>
  <c r="C6" i="11"/>
  <c r="H6" i="11"/>
  <c r="D5" i="9"/>
  <c r="E5" i="9" s="1"/>
  <c r="F6" i="11"/>
  <c r="D10" i="9"/>
  <c r="E10" i="9" s="1"/>
  <c r="D7" i="9"/>
  <c r="E7" i="9" s="1"/>
  <c r="D12" i="9"/>
  <c r="E12" i="9" s="1"/>
  <c r="E6" i="11"/>
  <c r="G33" i="9" l="1"/>
  <c r="G32" i="9"/>
  <c r="L10" i="11"/>
  <c r="G37" i="9" l="1"/>
  <c r="L41" i="9" s="1"/>
  <c r="L33" i="9" s="1"/>
  <c r="G36" i="9"/>
  <c r="L11" i="11"/>
  <c r="P8" i="60" a="1"/>
  <c r="D35" i="18" l="1"/>
  <c r="D13" i="18" s="1"/>
  <c r="J41" i="9"/>
  <c r="J33" i="9" s="1"/>
  <c r="I41" i="9"/>
  <c r="I33" i="9" s="1"/>
  <c r="M41" i="9"/>
  <c r="M33" i="9" s="1"/>
  <c r="H41" i="9"/>
  <c r="H33" i="9" s="1"/>
  <c r="M33" i="11"/>
  <c r="H664" i="60"/>
  <c r="G664" i="60" s="1"/>
  <c r="K41" i="9"/>
  <c r="K33" i="9" s="1"/>
  <c r="C716" i="60"/>
  <c r="H40" i="9"/>
  <c r="L40" i="9"/>
  <c r="M40" i="9"/>
  <c r="J40" i="9"/>
  <c r="I40" i="9"/>
  <c r="K40" i="9"/>
  <c r="P8" i="60"/>
  <c r="Q9" i="60" s="1"/>
  <c r="R9" i="60" s="1"/>
  <c r="Q19" i="60"/>
  <c r="R19" i="60" s="1"/>
  <c r="Q18" i="60"/>
  <c r="R18" i="60" s="1"/>
  <c r="Q16" i="60"/>
  <c r="R16" i="60" s="1"/>
  <c r="Q15" i="60"/>
  <c r="R15" i="60" s="1"/>
  <c r="Q10" i="60"/>
  <c r="R10" i="60" s="1"/>
  <c r="Q12" i="60"/>
  <c r="R12" i="60" s="1"/>
  <c r="Q11" i="60"/>
  <c r="R11" i="60" s="1"/>
  <c r="Q17" i="60"/>
  <c r="R17" i="60" s="1"/>
  <c r="Q13" i="60"/>
  <c r="R13" i="60" s="1"/>
  <c r="Q14" i="60"/>
  <c r="R14" i="60" s="1"/>
  <c r="M34" i="11"/>
  <c r="C723" i="60" l="1"/>
  <c r="B35" i="18"/>
  <c r="B13" i="18" s="1"/>
  <c r="C721" i="60" s="1"/>
  <c r="M19" i="11"/>
  <c r="C712" i="60"/>
  <c r="C715" i="60"/>
  <c r="C35" i="18"/>
  <c r="C13" i="18" s="1"/>
  <c r="C713" i="60"/>
  <c r="M23" i="11"/>
  <c r="I40" i="60"/>
  <c r="E355" i="60" s="1"/>
  <c r="C717" i="60"/>
  <c r="H661" i="60"/>
  <c r="G661" i="60" s="1"/>
  <c r="M15" i="11"/>
  <c r="I621" i="60"/>
  <c r="G621" i="60" s="1"/>
  <c r="K621" i="60" s="1"/>
  <c r="I625" i="60"/>
  <c r="G625" i="60" s="1"/>
  <c r="F632" i="60" s="1"/>
  <c r="H660" i="60"/>
  <c r="G660" i="60" s="1"/>
  <c r="E388" i="60"/>
  <c r="K390" i="60" s="1"/>
  <c r="L390" i="60" s="1"/>
  <c r="M390" i="60" s="1"/>
  <c r="M38" i="11"/>
  <c r="G41" i="9"/>
  <c r="H663" i="60"/>
  <c r="G663" i="60" s="1"/>
  <c r="M28" i="11"/>
  <c r="H665" i="60"/>
  <c r="G665" i="60" s="1"/>
  <c r="B24" i="75"/>
  <c r="K24" i="75" s="1"/>
  <c r="N33" i="9"/>
  <c r="M46" i="11" s="1"/>
  <c r="H662" i="60"/>
  <c r="G662" i="60" s="1"/>
  <c r="I620" i="60"/>
  <c r="G620" i="60" s="1"/>
  <c r="K620" i="60" s="1"/>
  <c r="C714" i="60"/>
  <c r="L32" i="9"/>
  <c r="J32" i="9"/>
  <c r="J53" i="9"/>
  <c r="J56" i="9" s="1"/>
  <c r="J50" i="9" s="1"/>
  <c r="K32" i="9"/>
  <c r="K53" i="9"/>
  <c r="K56" i="9" s="1"/>
  <c r="K50" i="9" s="1"/>
  <c r="I32" i="9"/>
  <c r="I53" i="9"/>
  <c r="I56" i="9" s="1"/>
  <c r="I50" i="9" s="1"/>
  <c r="D713" i="60" s="1"/>
  <c r="E713" i="60" s="1"/>
  <c r="M32" i="9"/>
  <c r="H32" i="9"/>
  <c r="G40" i="9"/>
  <c r="E380" i="60"/>
  <c r="K387" i="60" s="1"/>
  <c r="L387" i="60" s="1"/>
  <c r="M387" i="60" s="1"/>
  <c r="J40" i="60"/>
  <c r="G355" i="60" s="1"/>
  <c r="E389" i="60"/>
  <c r="K399" i="60" s="1"/>
  <c r="L399" i="60" s="1"/>
  <c r="M399" i="60" s="1"/>
  <c r="D40" i="60"/>
  <c r="B51" i="75"/>
  <c r="D51" i="75" s="1"/>
  <c r="B20" i="75"/>
  <c r="K20" i="75" s="1"/>
  <c r="E391" i="60" l="1"/>
  <c r="K391" i="60" s="1"/>
  <c r="L391" i="60" s="1"/>
  <c r="M391" i="60" s="1"/>
  <c r="E40" i="60"/>
  <c r="E321" i="60" s="1"/>
  <c r="B19" i="75"/>
  <c r="B21" i="75"/>
  <c r="K21" i="75" s="1"/>
  <c r="B25" i="75"/>
  <c r="C722" i="60"/>
  <c r="E382" i="60"/>
  <c r="K388" i="60" s="1"/>
  <c r="L388" i="60" s="1"/>
  <c r="M388" i="60" s="1"/>
  <c r="M625" i="60"/>
  <c r="M621" i="60"/>
  <c r="G40" i="60"/>
  <c r="E338" i="60" s="1"/>
  <c r="L23" i="11"/>
  <c r="K625" i="60"/>
  <c r="J632" i="60" s="1"/>
  <c r="E378" i="60"/>
  <c r="K386" i="60" s="1"/>
  <c r="L386" i="60" s="1"/>
  <c r="G632" i="60"/>
  <c r="C40" i="60"/>
  <c r="E287" i="60" s="1"/>
  <c r="K40" i="60"/>
  <c r="E372" i="60" s="1"/>
  <c r="M29" i="11"/>
  <c r="E385" i="60"/>
  <c r="K389" i="60" s="1"/>
  <c r="L389" i="60" s="1"/>
  <c r="M389" i="60" s="1"/>
  <c r="M24" i="11"/>
  <c r="B23" i="75"/>
  <c r="K23" i="75" s="1"/>
  <c r="M42" i="11"/>
  <c r="E13" i="18"/>
  <c r="M47" i="11" s="1"/>
  <c r="M620" i="60"/>
  <c r="D715" i="60"/>
  <c r="E715" i="60" s="1"/>
  <c r="D722" i="60"/>
  <c r="D714" i="60"/>
  <c r="E714" i="60" s="1"/>
  <c r="D721" i="60"/>
  <c r="E721" i="60" s="1"/>
  <c r="N32" i="9"/>
  <c r="L46" i="11" s="1"/>
  <c r="H53" i="9"/>
  <c r="B12" i="18"/>
  <c r="L28" i="11"/>
  <c r="M53" i="9"/>
  <c r="M56" i="9" s="1"/>
  <c r="M50" i="9" s="1"/>
  <c r="D717" i="60" s="1"/>
  <c r="E717" i="60" s="1"/>
  <c r="C12" i="18"/>
  <c r="L38" i="11"/>
  <c r="I607" i="60"/>
  <c r="E665" i="60"/>
  <c r="D665" i="60" s="1"/>
  <c r="G47" i="9"/>
  <c r="L53" i="9"/>
  <c r="L56" i="9" s="1"/>
  <c r="L50" i="9" s="1"/>
  <c r="E663" i="60"/>
  <c r="D663" i="60" s="1"/>
  <c r="I602" i="60"/>
  <c r="E660" i="60"/>
  <c r="D660" i="60" s="1"/>
  <c r="L15" i="11"/>
  <c r="E662" i="60"/>
  <c r="D662" i="60" s="1"/>
  <c r="E661" i="60"/>
  <c r="D661" i="60" s="1"/>
  <c r="L19" i="11"/>
  <c r="I603" i="60"/>
  <c r="E664" i="60"/>
  <c r="D664" i="60" s="1"/>
  <c r="L33" i="11"/>
  <c r="D12" i="18"/>
  <c r="K19" i="75"/>
  <c r="K25" i="75"/>
  <c r="E304" i="60"/>
  <c r="B26" i="75"/>
  <c r="E722" i="60" l="1"/>
  <c r="L29" i="11"/>
  <c r="M43" i="11"/>
  <c r="B50" i="75"/>
  <c r="D50" i="75" s="1"/>
  <c r="L40" i="60"/>
  <c r="E393" i="60"/>
  <c r="K632" i="60"/>
  <c r="E386" i="60"/>
  <c r="K398" i="60" s="1"/>
  <c r="L398" i="60" s="1"/>
  <c r="M398" i="60" s="1"/>
  <c r="H40" i="60"/>
  <c r="G338" i="60" s="1"/>
  <c r="K392" i="60"/>
  <c r="D382" i="60"/>
  <c r="F382" i="60" s="1"/>
  <c r="B48" i="75"/>
  <c r="B53" i="75" s="1"/>
  <c r="E383" i="60"/>
  <c r="K397" i="60" s="1"/>
  <c r="L397" i="60" s="1"/>
  <c r="F40" i="60"/>
  <c r="G321" i="60" s="1"/>
  <c r="E39" i="60"/>
  <c r="E320" i="60" s="1"/>
  <c r="F320" i="60" s="1"/>
  <c r="G39" i="60"/>
  <c r="E337" i="60" s="1"/>
  <c r="F338" i="60" s="1"/>
  <c r="D716" i="60"/>
  <c r="E716" i="60" s="1"/>
  <c r="D723" i="60"/>
  <c r="E723" i="60" s="1"/>
  <c r="L42" i="11"/>
  <c r="I39" i="60"/>
  <c r="E354" i="60" s="1"/>
  <c r="D388" i="60"/>
  <c r="D385" i="60"/>
  <c r="D378" i="60"/>
  <c r="C39" i="60"/>
  <c r="L24" i="11"/>
  <c r="D424" i="60" a="1"/>
  <c r="M607" i="60"/>
  <c r="I614" i="60"/>
  <c r="H625" i="60"/>
  <c r="H614" i="60"/>
  <c r="G603" i="60"/>
  <c r="M603" i="60"/>
  <c r="I610" i="60"/>
  <c r="H610" i="60"/>
  <c r="H621" i="60"/>
  <c r="G602" i="60"/>
  <c r="H609" i="60"/>
  <c r="I609" i="60"/>
  <c r="H620" i="60"/>
  <c r="M602" i="60"/>
  <c r="D391" i="60"/>
  <c r="K39" i="60"/>
  <c r="E371" i="60" s="1"/>
  <c r="L34" i="11"/>
  <c r="D426" i="60" a="1"/>
  <c r="E12" i="18"/>
  <c r="L47" i="11" s="1"/>
  <c r="D39" i="60"/>
  <c r="E303" i="60" s="1"/>
  <c r="F303" i="60" s="1"/>
  <c r="D380" i="60"/>
  <c r="H56" i="9"/>
  <c r="N53" i="9"/>
  <c r="M386" i="60"/>
  <c r="L392" i="60"/>
  <c r="M392" i="60" s="1"/>
  <c r="K26" i="75"/>
  <c r="G49" i="75"/>
  <c r="H49" i="75" s="1"/>
  <c r="D386" i="60" l="1"/>
  <c r="H39" i="60"/>
  <c r="G337" i="60" s="1"/>
  <c r="H337" i="60" s="1"/>
  <c r="E50" i="75"/>
  <c r="E394" i="60"/>
  <c r="M40" i="60"/>
  <c r="L401" i="60"/>
  <c r="M401" i="60" s="1"/>
  <c r="G386" i="60"/>
  <c r="K401" i="60"/>
  <c r="D48" i="75"/>
  <c r="E48" i="75"/>
  <c r="C48" i="75"/>
  <c r="F48" i="75" s="1"/>
  <c r="G382" i="60"/>
  <c r="F321" i="60"/>
  <c r="F337" i="60"/>
  <c r="H338" i="60"/>
  <c r="F386" i="60"/>
  <c r="F304" i="60"/>
  <c r="L620" i="60"/>
  <c r="H627" i="60"/>
  <c r="I627" i="60"/>
  <c r="F621" i="60"/>
  <c r="G610" i="60"/>
  <c r="K603" i="60"/>
  <c r="F610" i="60"/>
  <c r="F378" i="60"/>
  <c r="G378" i="60"/>
  <c r="D393" i="60"/>
  <c r="G570" i="60"/>
  <c r="G462" i="60"/>
  <c r="G552" i="60"/>
  <c r="G606" i="60"/>
  <c r="D426" i="60"/>
  <c r="G498" i="60"/>
  <c r="G588" i="60"/>
  <c r="G516" i="60"/>
  <c r="G480" i="60"/>
  <c r="G624" i="60"/>
  <c r="G534" i="60"/>
  <c r="H632" i="60"/>
  <c r="L625" i="60"/>
  <c r="I632" i="60"/>
  <c r="G56" i="9"/>
  <c r="G50" i="9" s="1"/>
  <c r="G53" i="9" s="1"/>
  <c r="H50" i="9"/>
  <c r="J39" i="60"/>
  <c r="G354" i="60" s="1"/>
  <c r="D389" i="60"/>
  <c r="F620" i="60"/>
  <c r="G609" i="60"/>
  <c r="F609" i="60"/>
  <c r="K602" i="60"/>
  <c r="G385" i="60"/>
  <c r="F385" i="60"/>
  <c r="E286" i="60"/>
  <c r="L39" i="60"/>
  <c r="G380" i="60"/>
  <c r="F380" i="60"/>
  <c r="F371" i="60"/>
  <c r="F372" i="60"/>
  <c r="L621" i="60"/>
  <c r="H628" i="60"/>
  <c r="I628" i="60"/>
  <c r="L614" i="60"/>
  <c r="M614" i="60"/>
  <c r="G388" i="60"/>
  <c r="F388" i="60"/>
  <c r="L610" i="60"/>
  <c r="M610" i="60"/>
  <c r="G391" i="60"/>
  <c r="F391" i="60"/>
  <c r="G514" i="60"/>
  <c r="G568" i="60"/>
  <c r="G551" i="60"/>
  <c r="G569" i="60"/>
  <c r="G461" i="60"/>
  <c r="G604" i="60"/>
  <c r="G478" i="60"/>
  <c r="G533" i="60"/>
  <c r="G443" i="60"/>
  <c r="G479" i="60"/>
  <c r="G496" i="60"/>
  <c r="G605" i="60"/>
  <c r="G497" i="60"/>
  <c r="F461" i="60"/>
  <c r="J461" i="60" s="1"/>
  <c r="G460" i="60"/>
  <c r="D424" i="60"/>
  <c r="G587" i="60"/>
  <c r="G623" i="60"/>
  <c r="G532" i="60"/>
  <c r="G622" i="60"/>
  <c r="G515" i="60"/>
  <c r="G586" i="60"/>
  <c r="G550" i="60"/>
  <c r="F354" i="60"/>
  <c r="F355" i="60"/>
  <c r="L609" i="60"/>
  <c r="M609" i="60"/>
  <c r="F39" i="60"/>
  <c r="L43" i="11"/>
  <c r="D383" i="60"/>
  <c r="M397" i="60"/>
  <c r="G51" i="75"/>
  <c r="G47" i="75"/>
  <c r="H47" i="75" s="1"/>
  <c r="G52" i="75"/>
  <c r="H52" i="75" s="1"/>
  <c r="G22" i="75"/>
  <c r="G46" i="75"/>
  <c r="G50" i="75" l="1"/>
  <c r="E53" i="75"/>
  <c r="F53" i="75"/>
  <c r="D53" i="75"/>
  <c r="C53" i="75"/>
  <c r="G48" i="75"/>
  <c r="H48" i="75" s="1"/>
  <c r="N50" i="9"/>
  <c r="D712" i="60"/>
  <c r="E712" i="60" s="1"/>
  <c r="I532" i="60"/>
  <c r="K532" i="60"/>
  <c r="F550" i="60"/>
  <c r="K496" i="60"/>
  <c r="F514" i="60"/>
  <c r="I496" i="60"/>
  <c r="F569" i="60"/>
  <c r="G576" i="60" s="1"/>
  <c r="K551" i="60"/>
  <c r="I551" i="60"/>
  <c r="L632" i="60"/>
  <c r="M632" i="60"/>
  <c r="G444" i="60"/>
  <c r="F462" i="60"/>
  <c r="I623" i="60"/>
  <c r="M623" i="60" s="1"/>
  <c r="K623" i="60"/>
  <c r="I479" i="60"/>
  <c r="F497" i="60"/>
  <c r="K479" i="60"/>
  <c r="K568" i="60"/>
  <c r="I568" i="60"/>
  <c r="F586" i="60"/>
  <c r="F627" i="60"/>
  <c r="J620" i="60"/>
  <c r="G627" i="60"/>
  <c r="J610" i="60"/>
  <c r="K610" i="60"/>
  <c r="K498" i="60"/>
  <c r="I498" i="60"/>
  <c r="F516" i="60"/>
  <c r="F605" i="60"/>
  <c r="J605" i="60" s="1"/>
  <c r="K587" i="60"/>
  <c r="I587" i="60"/>
  <c r="F450" i="60"/>
  <c r="G450" i="60"/>
  <c r="K443" i="60"/>
  <c r="I443" i="60"/>
  <c r="K514" i="60"/>
  <c r="I514" i="60"/>
  <c r="F532" i="60"/>
  <c r="F539" i="60" s="1"/>
  <c r="F389" i="60"/>
  <c r="G389" i="60"/>
  <c r="F552" i="60"/>
  <c r="I534" i="60"/>
  <c r="K534" i="60"/>
  <c r="F570" i="60"/>
  <c r="K552" i="60"/>
  <c r="I552" i="60"/>
  <c r="G442" i="60"/>
  <c r="F460" i="60"/>
  <c r="I533" i="60"/>
  <c r="K533" i="60"/>
  <c r="F551" i="60"/>
  <c r="F286" i="60"/>
  <c r="F287" i="60"/>
  <c r="H354" i="60"/>
  <c r="H355" i="60"/>
  <c r="K624" i="60"/>
  <c r="I624" i="60"/>
  <c r="M624" i="60" s="1"/>
  <c r="K462" i="60"/>
  <c r="F480" i="60"/>
  <c r="I462" i="60"/>
  <c r="J621" i="60"/>
  <c r="G628" i="60"/>
  <c r="F628" i="60"/>
  <c r="K569" i="60"/>
  <c r="F587" i="60"/>
  <c r="I569" i="60"/>
  <c r="D394" i="60"/>
  <c r="G383" i="60"/>
  <c r="F383" i="60"/>
  <c r="I550" i="60"/>
  <c r="F568" i="60"/>
  <c r="K550" i="60"/>
  <c r="F478" i="60"/>
  <c r="K460" i="60"/>
  <c r="I460" i="60"/>
  <c r="K478" i="60"/>
  <c r="F496" i="60"/>
  <c r="J496" i="60" s="1"/>
  <c r="I478" i="60"/>
  <c r="F498" i="60"/>
  <c r="J498" i="60" s="1"/>
  <c r="I480" i="60"/>
  <c r="K480" i="60"/>
  <c r="F588" i="60"/>
  <c r="K570" i="60"/>
  <c r="I570" i="60"/>
  <c r="F604" i="60"/>
  <c r="J604" i="60" s="1"/>
  <c r="I586" i="60"/>
  <c r="K586" i="60"/>
  <c r="L628" i="60"/>
  <c r="M628" i="60"/>
  <c r="F534" i="60"/>
  <c r="K516" i="60"/>
  <c r="I516" i="60"/>
  <c r="F393" i="60"/>
  <c r="G393" i="60"/>
  <c r="G320" i="60"/>
  <c r="M39" i="60"/>
  <c r="F533" i="60"/>
  <c r="I515" i="60"/>
  <c r="K515" i="60"/>
  <c r="K497" i="60"/>
  <c r="I497" i="60"/>
  <c r="F515" i="60"/>
  <c r="F468" i="60"/>
  <c r="I461" i="60"/>
  <c r="G468" i="60"/>
  <c r="F479" i="60"/>
  <c r="J479" i="60" s="1"/>
  <c r="K461" i="60"/>
  <c r="K609" i="60"/>
  <c r="J609" i="60"/>
  <c r="K588" i="60"/>
  <c r="F606" i="60"/>
  <c r="J606" i="60" s="1"/>
  <c r="I588" i="60"/>
  <c r="L627" i="60"/>
  <c r="M627" i="60"/>
  <c r="H51" i="75"/>
  <c r="J51" i="75"/>
  <c r="H50" i="75"/>
  <c r="J50" i="75"/>
  <c r="H22" i="75"/>
  <c r="H46" i="75"/>
  <c r="G53" i="75" l="1"/>
  <c r="J53" i="75" s="1"/>
  <c r="J48" i="75"/>
  <c r="G486" i="60"/>
  <c r="F503" i="60"/>
  <c r="G503" i="60"/>
  <c r="J588" i="60"/>
  <c r="K595" i="60" s="1"/>
  <c r="F595" i="60"/>
  <c r="G595" i="60"/>
  <c r="J480" i="60"/>
  <c r="K487" i="60" s="1"/>
  <c r="G487" i="60"/>
  <c r="F487" i="60"/>
  <c r="M586" i="60"/>
  <c r="H604" i="60"/>
  <c r="L604" i="60" s="1"/>
  <c r="H461" i="60"/>
  <c r="L461" i="60" s="1"/>
  <c r="I450" i="60"/>
  <c r="H450" i="60"/>
  <c r="M443" i="60"/>
  <c r="J516" i="60"/>
  <c r="J523" i="60" s="1"/>
  <c r="F523" i="60"/>
  <c r="G523" i="60"/>
  <c r="J586" i="60"/>
  <c r="K593" i="60" s="1"/>
  <c r="G593" i="60"/>
  <c r="F593" i="60"/>
  <c r="J462" i="60"/>
  <c r="K469" i="60" s="1"/>
  <c r="G469" i="60"/>
  <c r="F469" i="60"/>
  <c r="J514" i="60"/>
  <c r="J521" i="60" s="1"/>
  <c r="F521" i="60"/>
  <c r="J551" i="60"/>
  <c r="J558" i="60" s="1"/>
  <c r="F558" i="60"/>
  <c r="M480" i="60"/>
  <c r="H498" i="60"/>
  <c r="I505" i="60" s="1"/>
  <c r="H551" i="60"/>
  <c r="M533" i="60"/>
  <c r="H552" i="60"/>
  <c r="M534" i="60"/>
  <c r="J450" i="60"/>
  <c r="K450" i="60"/>
  <c r="M498" i="60"/>
  <c r="H516" i="60"/>
  <c r="I523" i="60" s="1"/>
  <c r="M568" i="60"/>
  <c r="H586" i="60"/>
  <c r="L586" i="60" s="1"/>
  <c r="K444" i="60"/>
  <c r="I444" i="60"/>
  <c r="F451" i="60"/>
  <c r="G451" i="60"/>
  <c r="J503" i="60"/>
  <c r="K503" i="60"/>
  <c r="G540" i="60"/>
  <c r="F540" i="60"/>
  <c r="J533" i="60"/>
  <c r="F486" i="60"/>
  <c r="J568" i="60"/>
  <c r="K575" i="60" s="1"/>
  <c r="F575" i="60"/>
  <c r="J460" i="60"/>
  <c r="J467" i="60" s="1"/>
  <c r="F467" i="60"/>
  <c r="G467" i="60"/>
  <c r="J552" i="60"/>
  <c r="K559" i="60" s="1"/>
  <c r="G559" i="60"/>
  <c r="F559" i="60"/>
  <c r="J505" i="60"/>
  <c r="K505" i="60"/>
  <c r="J550" i="60"/>
  <c r="J557" i="60" s="1"/>
  <c r="F557" i="60"/>
  <c r="G557" i="60"/>
  <c r="J468" i="60"/>
  <c r="K468" i="60"/>
  <c r="J570" i="60"/>
  <c r="J577" i="60" s="1"/>
  <c r="G577" i="60"/>
  <c r="F577" i="60"/>
  <c r="J587" i="60"/>
  <c r="K594" i="60" s="1"/>
  <c r="G594" i="60"/>
  <c r="H320" i="60"/>
  <c r="H321" i="60"/>
  <c r="M478" i="60"/>
  <c r="H496" i="60"/>
  <c r="L496" i="60" s="1"/>
  <c r="M550" i="60"/>
  <c r="H568" i="60"/>
  <c r="I575" i="60" s="1"/>
  <c r="I442" i="60"/>
  <c r="F449" i="60"/>
  <c r="G449" i="60"/>
  <c r="K442" i="60"/>
  <c r="J486" i="60"/>
  <c r="K486" i="60"/>
  <c r="M515" i="60"/>
  <c r="H533" i="60"/>
  <c r="H540" i="60" s="1"/>
  <c r="H587" i="60"/>
  <c r="M569" i="60"/>
  <c r="H534" i="60"/>
  <c r="L534" i="60" s="1"/>
  <c r="M516" i="60"/>
  <c r="J515" i="60"/>
  <c r="J522" i="60" s="1"/>
  <c r="G522" i="60"/>
  <c r="F522" i="60"/>
  <c r="F594" i="60"/>
  <c r="F541" i="60"/>
  <c r="G541" i="60"/>
  <c r="J534" i="60"/>
  <c r="J541" i="60" s="1"/>
  <c r="G558" i="60"/>
  <c r="H605" i="60"/>
  <c r="L605" i="60" s="1"/>
  <c r="M587" i="60"/>
  <c r="J497" i="60"/>
  <c r="J504" i="60" s="1"/>
  <c r="G504" i="60"/>
  <c r="F504" i="60"/>
  <c r="H569" i="60"/>
  <c r="I576" i="60" s="1"/>
  <c r="M551" i="60"/>
  <c r="H550" i="60"/>
  <c r="M532" i="60"/>
  <c r="M461" i="60"/>
  <c r="H479" i="60"/>
  <c r="M497" i="60"/>
  <c r="H515" i="60"/>
  <c r="G521" i="60"/>
  <c r="M570" i="60"/>
  <c r="H588" i="60"/>
  <c r="I595" i="60" s="1"/>
  <c r="K628" i="60"/>
  <c r="J628" i="60"/>
  <c r="H570" i="60"/>
  <c r="M552" i="60"/>
  <c r="J532" i="60"/>
  <c r="K539" i="60" s="1"/>
  <c r="G539" i="60"/>
  <c r="H497" i="60"/>
  <c r="M479" i="60"/>
  <c r="F505" i="60"/>
  <c r="M496" i="60"/>
  <c r="H514" i="60"/>
  <c r="J478" i="60"/>
  <c r="K485" i="60" s="1"/>
  <c r="F485" i="60"/>
  <c r="G485" i="60"/>
  <c r="M588" i="60"/>
  <c r="H606" i="60"/>
  <c r="L606" i="60" s="1"/>
  <c r="G575" i="60"/>
  <c r="H478" i="60"/>
  <c r="H485" i="60" s="1"/>
  <c r="M460" i="60"/>
  <c r="F394" i="60"/>
  <c r="G394" i="60"/>
  <c r="H480" i="60"/>
  <c r="M462" i="60"/>
  <c r="M514" i="60"/>
  <c r="H532" i="60"/>
  <c r="J627" i="60"/>
  <c r="K627" i="60"/>
  <c r="J569" i="60"/>
  <c r="F576" i="60"/>
  <c r="G505" i="60"/>
  <c r="H53" i="75"/>
  <c r="J575" i="60" l="1"/>
  <c r="J559" i="60"/>
  <c r="I541" i="60"/>
  <c r="J469" i="60"/>
  <c r="J594" i="60"/>
  <c r="K504" i="60"/>
  <c r="H593" i="60"/>
  <c r="K523" i="60"/>
  <c r="H541" i="60"/>
  <c r="J595" i="60"/>
  <c r="K577" i="60"/>
  <c r="I593" i="60"/>
  <c r="J487" i="60"/>
  <c r="K522" i="60"/>
  <c r="J485" i="60"/>
  <c r="L552" i="60"/>
  <c r="L559" i="60" s="1"/>
  <c r="H559" i="60"/>
  <c r="I559" i="60"/>
  <c r="L550" i="60"/>
  <c r="L557" i="60" s="1"/>
  <c r="I557" i="60"/>
  <c r="I468" i="60"/>
  <c r="H449" i="60"/>
  <c r="M442" i="60"/>
  <c r="I449" i="60"/>
  <c r="H460" i="60"/>
  <c r="K467" i="60"/>
  <c r="L593" i="60"/>
  <c r="M593" i="60"/>
  <c r="J449" i="60"/>
  <c r="K449" i="60"/>
  <c r="L587" i="60"/>
  <c r="M594" i="60" s="1"/>
  <c r="I594" i="60"/>
  <c r="H594" i="60"/>
  <c r="K558" i="60"/>
  <c r="L568" i="60"/>
  <c r="L575" i="60" s="1"/>
  <c r="H575" i="60"/>
  <c r="L551" i="60"/>
  <c r="M558" i="60" s="1"/>
  <c r="I558" i="60"/>
  <c r="H558" i="60"/>
  <c r="K521" i="60"/>
  <c r="K541" i="60"/>
  <c r="L514" i="60"/>
  <c r="M521" i="60" s="1"/>
  <c r="I521" i="60"/>
  <c r="H521" i="60"/>
  <c r="K451" i="60"/>
  <c r="J451" i="60"/>
  <c r="L479" i="60"/>
  <c r="M486" i="60" s="1"/>
  <c r="I486" i="60"/>
  <c r="H486" i="60"/>
  <c r="J539" i="60"/>
  <c r="L515" i="60"/>
  <c r="L522" i="60" s="1"/>
  <c r="I522" i="60"/>
  <c r="L468" i="60"/>
  <c r="M468" i="60"/>
  <c r="L516" i="60"/>
  <c r="M523" i="60" s="1"/>
  <c r="H523" i="60"/>
  <c r="L498" i="60"/>
  <c r="L505" i="60" s="1"/>
  <c r="H505" i="60"/>
  <c r="H468" i="60"/>
  <c r="I451" i="60"/>
  <c r="M444" i="60"/>
  <c r="H451" i="60"/>
  <c r="H462" i="60"/>
  <c r="K576" i="60"/>
  <c r="J576" i="60"/>
  <c r="L588" i="60"/>
  <c r="M595" i="60" s="1"/>
  <c r="H595" i="60"/>
  <c r="K557" i="60"/>
  <c r="L532" i="60"/>
  <c r="M539" i="60" s="1"/>
  <c r="I539" i="60"/>
  <c r="H539" i="60"/>
  <c r="J593" i="60"/>
  <c r="J540" i="60"/>
  <c r="K540" i="60"/>
  <c r="M450" i="60"/>
  <c r="L450" i="60"/>
  <c r="H522" i="60"/>
  <c r="L541" i="60"/>
  <c r="M541" i="60"/>
  <c r="L480" i="60"/>
  <c r="M487" i="60" s="1"/>
  <c r="H487" i="60"/>
  <c r="L503" i="60"/>
  <c r="M503" i="60"/>
  <c r="L533" i="60"/>
  <c r="M540" i="60" s="1"/>
  <c r="I540" i="60"/>
  <c r="L569" i="60"/>
  <c r="L576" i="60" s="1"/>
  <c r="H576" i="60"/>
  <c r="I487" i="60"/>
  <c r="L570" i="60"/>
  <c r="M577" i="60" s="1"/>
  <c r="H577" i="60"/>
  <c r="I577" i="60"/>
  <c r="L478" i="60"/>
  <c r="L485" i="60" s="1"/>
  <c r="I485" i="60"/>
  <c r="L497" i="60"/>
  <c r="M504" i="60" s="1"/>
  <c r="H504" i="60"/>
  <c r="I504" i="60"/>
  <c r="H557" i="60"/>
  <c r="H503" i="60"/>
  <c r="I503" i="60"/>
  <c r="L487" i="60" l="1"/>
  <c r="M522" i="60"/>
  <c r="M559" i="60"/>
  <c r="M576" i="60"/>
  <c r="M575" i="60"/>
  <c r="M485" i="60"/>
  <c r="L523" i="60"/>
  <c r="L504" i="60"/>
  <c r="L460" i="60"/>
  <c r="H467" i="60"/>
  <c r="I467" i="60"/>
  <c r="L594" i="60"/>
  <c r="I469" i="60"/>
  <c r="H469" i="60"/>
  <c r="L462" i="60"/>
  <c r="L540" i="60"/>
  <c r="L558" i="60"/>
  <c r="M449" i="60"/>
  <c r="L449" i="60"/>
  <c r="L595" i="60"/>
  <c r="L486" i="60"/>
  <c r="M557" i="60"/>
  <c r="L539" i="60"/>
  <c r="M505" i="60"/>
  <c r="L521" i="60"/>
  <c r="L577" i="60"/>
  <c r="L451" i="60"/>
  <c r="M451" i="60"/>
  <c r="F623" i="60"/>
  <c r="G630" i="60" s="1"/>
  <c r="K605" i="60"/>
  <c r="J612" i="60" s="1"/>
  <c r="K606" i="60"/>
  <c r="K613" i="60" s="1"/>
  <c r="F624" i="60"/>
  <c r="G631" i="60" s="1"/>
  <c r="F622" i="60"/>
  <c r="J622" i="60" s="1"/>
  <c r="K604" i="60"/>
  <c r="K611" i="60" s="1"/>
  <c r="G611" i="60"/>
  <c r="F611" i="60"/>
  <c r="F613" i="60"/>
  <c r="G613" i="60"/>
  <c r="F612" i="60"/>
  <c r="G612" i="60"/>
  <c r="I606" i="60"/>
  <c r="M606" i="60" s="1"/>
  <c r="I605" i="60"/>
  <c r="H623" i="60" s="1"/>
  <c r="I604" i="60"/>
  <c r="I611" i="60" s="1"/>
  <c r="L469" i="60" l="1"/>
  <c r="M469" i="60"/>
  <c r="L467" i="60"/>
  <c r="M467" i="60"/>
  <c r="J623" i="60"/>
  <c r="J630" i="60" s="1"/>
  <c r="K612" i="60"/>
  <c r="I613" i="60"/>
  <c r="H612" i="60"/>
  <c r="J611" i="60"/>
  <c r="J624" i="60"/>
  <c r="J631" i="60" s="1"/>
  <c r="J613" i="60"/>
  <c r="H611" i="60"/>
  <c r="H624" i="60"/>
  <c r="L624" i="60" s="1"/>
  <c r="M631" i="60" s="1"/>
  <c r="H622" i="60"/>
  <c r="L622" i="60" s="1"/>
  <c r="I630" i="60"/>
  <c r="L623" i="60"/>
  <c r="H630" i="60"/>
  <c r="M613" i="60"/>
  <c r="L613" i="60"/>
  <c r="F630" i="60"/>
  <c r="I612" i="60"/>
  <c r="M605" i="60"/>
  <c r="F631" i="60"/>
  <c r="M604" i="60"/>
  <c r="H613" i="60"/>
  <c r="K631" i="60" l="1"/>
  <c r="K630" i="60"/>
  <c r="I631" i="60"/>
  <c r="L631" i="60"/>
  <c r="H631" i="60"/>
  <c r="L611" i="60"/>
  <c r="M611" i="60"/>
  <c r="M612" i="60"/>
  <c r="L612" i="60"/>
  <c r="M630" i="60"/>
  <c r="L630" i="60"/>
  <c r="K622" i="60"/>
  <c r="K629" i="60" s="1"/>
  <c r="G629" i="60"/>
  <c r="F629" i="60"/>
  <c r="I622" i="60"/>
  <c r="H629" i="60" s="1"/>
  <c r="I629" i="60" l="1"/>
  <c r="J629" i="60"/>
  <c r="M622" i="60"/>
  <c r="M629" i="60" l="1"/>
  <c r="L629" i="60"/>
  <c r="C17" i="75" l="1"/>
  <c r="N22" i="75" l="1"/>
  <c r="O22" i="75"/>
  <c r="M22" i="75"/>
  <c r="B15" i="75"/>
  <c r="B27" i="75"/>
  <c r="D24" i="75"/>
  <c r="D25" i="75"/>
  <c r="E23" i="75"/>
  <c r="E19" i="75"/>
  <c r="D20" i="75"/>
  <c r="C21" i="75"/>
  <c r="D21" i="75"/>
  <c r="F23" i="75"/>
  <c r="O23" i="75" s="1"/>
  <c r="D23" i="75"/>
  <c r="E20" i="75"/>
  <c r="E21" i="75"/>
  <c r="D19" i="75"/>
  <c r="F21" i="75"/>
  <c r="F19" i="75"/>
  <c r="F24" i="75"/>
  <c r="O24" i="75" s="1"/>
  <c r="F20" i="75"/>
  <c r="O20" i="75" s="1"/>
  <c r="E24" i="75"/>
  <c r="E25" i="75"/>
  <c r="F25" i="75"/>
  <c r="O25" i="75" s="1"/>
  <c r="J22" i="75"/>
  <c r="P22" i="75" l="1"/>
  <c r="Q22" i="75" s="1"/>
  <c r="O21" i="75"/>
  <c r="N21" i="75"/>
  <c r="N23" i="75"/>
  <c r="N25" i="75"/>
  <c r="N20" i="75"/>
  <c r="M25" i="75"/>
  <c r="G25" i="75"/>
  <c r="M23" i="75"/>
  <c r="G23" i="75"/>
  <c r="M24" i="75"/>
  <c r="G24" i="75"/>
  <c r="M21" i="75"/>
  <c r="N24" i="75"/>
  <c r="O19" i="75"/>
  <c r="F26" i="75"/>
  <c r="L21" i="75"/>
  <c r="G21" i="75"/>
  <c r="C26" i="75"/>
  <c r="M20" i="75"/>
  <c r="G20" i="75"/>
  <c r="M19" i="75"/>
  <c r="G19" i="75"/>
  <c r="D26" i="75"/>
  <c r="N19" i="75"/>
  <c r="E26" i="75"/>
  <c r="P21" i="75" l="1"/>
  <c r="Q21" i="75" s="1"/>
  <c r="P23" i="75"/>
  <c r="Q23" i="75" s="1"/>
  <c r="O26" i="75"/>
  <c r="P19" i="75"/>
  <c r="M26" i="75"/>
  <c r="P20" i="75"/>
  <c r="Q20" i="75" s="1"/>
  <c r="P24" i="75"/>
  <c r="Q24" i="75" s="1"/>
  <c r="N26" i="75"/>
  <c r="H20" i="75"/>
  <c r="J20" i="75"/>
  <c r="H25" i="75"/>
  <c r="J25" i="75"/>
  <c r="H21" i="75"/>
  <c r="J21" i="75"/>
  <c r="P25" i="75"/>
  <c r="Q25" i="75" s="1"/>
  <c r="H23" i="75"/>
  <c r="J23" i="75"/>
  <c r="G26" i="75"/>
  <c r="J26" i="75" s="1"/>
  <c r="H19" i="75"/>
  <c r="J19" i="75"/>
  <c r="L26" i="75"/>
  <c r="H24" i="75"/>
  <c r="J24" i="75"/>
  <c r="H26" i="75" l="1"/>
  <c r="Q19" i="75"/>
  <c r="Q26" i="75" s="1"/>
  <c r="P26" i="7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L2" authorId="0" shapeId="0" xr:uid="{A57BCDB9-D3D1-477F-AA92-BA5538398266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Include all of the variables for Predicted Purchases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L2" authorId="0" shapeId="0" xr:uid="{2E5087B0-3137-4738-BF14-5D3AC28C3C41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Include all of the variables for Predicted Purchases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I35" authorId="0" shapeId="0" xr:uid="{345B4925-1D7A-4ED8-A263-2D0EB28E7F57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These 2 should not be 100% weather sensitive</t>
        </r>
      </text>
    </comment>
    <comment ref="J35" authorId="0" shapeId="0" xr:uid="{BE336CCA-67F0-4462-8E60-FDB466DE566C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Comes from HO Load Profile Page 1 in GS&gt;50</t>
        </r>
      </text>
    </comment>
    <comment ref="I52" authorId="0" shapeId="0" xr:uid="{8AF16D34-5211-401B-8B48-C6D6DCCAE8BE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These 2 should not be 100% weather sensitive</t>
        </r>
      </text>
    </comment>
    <comment ref="J52" authorId="0" shapeId="0" xr:uid="{A4020F3F-F62F-46BD-9CFB-B0044D753793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Comes from HO Load Profile Page 1 in GS&gt;50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<sst xmlns="http://schemas.openxmlformats.org/spreadsheetml/2006/main" count="1151" uniqueCount="289">
  <si>
    <t>Loss Factor</t>
  </si>
  <si>
    <t xml:space="preserve">Residential </t>
  </si>
  <si>
    <t xml:space="preserve">Unmetered Loads </t>
  </si>
  <si>
    <t>Total Billed</t>
  </si>
  <si>
    <t>Heating Degree Days</t>
  </si>
  <si>
    <t>Cooling Degree Days</t>
  </si>
  <si>
    <t>Number of Days in Month</t>
  </si>
  <si>
    <t>Number of Peak Hours</t>
  </si>
  <si>
    <t>Purchases</t>
  </si>
  <si>
    <t>Modeled Purchases</t>
  </si>
  <si>
    <t>% Difference</t>
  </si>
  <si>
    <t>Total</t>
  </si>
  <si>
    <t xml:space="preserve">Predicted Purchases </t>
  </si>
  <si>
    <t>Variances (kWh)</t>
  </si>
  <si>
    <t>% Variance</t>
  </si>
  <si>
    <t>Average</t>
  </si>
  <si>
    <t xml:space="preserve">Geomean </t>
  </si>
  <si>
    <t>Usage Per Customer</t>
  </si>
  <si>
    <t>Spring Fall Flag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</si>
  <si>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</si>
  <si>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</si>
  <si>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</si>
  <si>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</si>
  <si>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</si>
  <si>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</si>
  <si>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</si>
  <si>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</si>
  <si>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</si>
  <si>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</si>
  <si>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</si>
  <si>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</si>
  <si>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</si>
  <si>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</si>
  <si>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</si>
  <si>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</si>
  <si>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</si>
  <si>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</si>
  <si>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</si>
  <si>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</si>
  <si>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</si>
  <si>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Difference</t>
  </si>
  <si>
    <t xml:space="preserve">Growth Rate in Customer Numbers </t>
  </si>
  <si>
    <t>Weather Corrected Forecast</t>
  </si>
  <si>
    <t>Non Weather Corrected Forecast</t>
  </si>
  <si>
    <t>% Weather Sensitive</t>
  </si>
  <si>
    <t>Allocation of Weather Sensitive Amount</t>
  </si>
  <si>
    <t xml:space="preserve">  Customers</t>
  </si>
  <si>
    <t xml:space="preserve">  kWh</t>
  </si>
  <si>
    <t xml:space="preserve">  kW</t>
  </si>
  <si>
    <t xml:space="preserve">  Connections</t>
  </si>
  <si>
    <t xml:space="preserve">  kW from applicable classes</t>
  </si>
  <si>
    <t xml:space="preserve">  Customer/Connections</t>
  </si>
  <si>
    <t>Actual kWh Purchases</t>
  </si>
  <si>
    <t>Predicted kWh Purchases</t>
  </si>
  <si>
    <t>By Class</t>
  </si>
  <si>
    <t>Used</t>
  </si>
  <si>
    <r>
      <t xml:space="preserve">General Service </t>
    </r>
    <r>
      <rPr>
        <u/>
        <sz val="10"/>
        <rFont val="Arial"/>
        <family val="2"/>
      </rPr>
      <t>&lt; 50 kW</t>
    </r>
  </si>
  <si>
    <r>
      <t xml:space="preserve">General Service </t>
    </r>
    <r>
      <rPr>
        <u/>
        <sz val="10"/>
        <rFont val="Arial"/>
        <family val="2"/>
      </rPr>
      <t>&gt; 50 to 999 kW</t>
    </r>
  </si>
  <si>
    <t>kW/kWh</t>
  </si>
  <si>
    <t>Street Lights</t>
  </si>
  <si>
    <t>May</t>
  </si>
  <si>
    <t>kWh</t>
  </si>
  <si>
    <t>kW</t>
  </si>
  <si>
    <t>Number of Customers</t>
  </si>
  <si>
    <t>% Variance (Abs)</t>
  </si>
  <si>
    <t xml:space="preserve">2015 Actual </t>
  </si>
  <si>
    <t xml:space="preserve">2016 Actual </t>
  </si>
  <si>
    <t>Co-generation Facility Flag</t>
  </si>
  <si>
    <t>Sentinel Lights</t>
  </si>
  <si>
    <t xml:space="preserve">2017 Actual </t>
  </si>
  <si>
    <t>Trend</t>
  </si>
  <si>
    <t>Power Purchased</t>
  </si>
  <si>
    <t>MAPE</t>
  </si>
  <si>
    <t>Average Number of Customer/Connections</t>
  </si>
  <si>
    <t>Forecast</t>
  </si>
  <si>
    <t>2013 Actual</t>
  </si>
  <si>
    <t xml:space="preserve">2018 Actual </t>
  </si>
  <si>
    <t xml:space="preserve">2019 Actual </t>
  </si>
  <si>
    <t xml:space="preserve">Total Billed </t>
  </si>
  <si>
    <t>Variables</t>
  </si>
  <si>
    <t xml:space="preserve">Notes: </t>
  </si>
  <si>
    <t xml:space="preserve">1) Enter Variables here that will be used to run the regression analysis in worksheet 6. WS Regression Analysis ( Maximum 6 variables)
"Wholesale" purchases are purchases measured at the wholesale meter. </t>
  </si>
  <si>
    <t xml:space="preserve">Note: Your final regression analysis does not need to include all six of the variables 
Note: Your final regression analysis does not need to include all six of the variables 
</t>
  </si>
  <si>
    <t>Jan</t>
  </si>
  <si>
    <t>Feb</t>
  </si>
  <si>
    <t>Mar</t>
  </si>
  <si>
    <t>Apr</t>
  </si>
  <si>
    <t>Jun</t>
  </si>
  <si>
    <t>Jul</t>
  </si>
  <si>
    <t>Aug</t>
  </si>
  <si>
    <t>Sept</t>
  </si>
  <si>
    <t>Oct</t>
  </si>
  <si>
    <t>Nov</t>
  </si>
  <si>
    <t>Dec</t>
  </si>
  <si>
    <t>GDP</t>
  </si>
  <si>
    <t xml:space="preserve">Spring and Fall </t>
  </si>
  <si>
    <t>Peak Number of Hours</t>
  </si>
  <si>
    <t>Input data</t>
  </si>
  <si>
    <t>Wholesale Power Purchased</t>
  </si>
  <si>
    <t>10 year average</t>
  </si>
  <si>
    <t>Residential</t>
  </si>
  <si>
    <t>GS&lt;50</t>
  </si>
  <si>
    <t>GS&gt;50</t>
  </si>
  <si>
    <t>HardCoded</t>
  </si>
  <si>
    <t>StreetLighting</t>
  </si>
  <si>
    <t>Lower 95.0%</t>
  </si>
  <si>
    <t>Upper 95.0%</t>
  </si>
  <si>
    <t>Based on 10-year average</t>
  </si>
  <si>
    <t>KWB Unemployment  (000's)</t>
  </si>
  <si>
    <t>KWB Employment  (000's)</t>
  </si>
  <si>
    <t>Summary of Load</t>
  </si>
  <si>
    <t>Year</t>
  </si>
  <si>
    <t>GS &lt; 50 kW</t>
  </si>
  <si>
    <t>GS &gt; 50 kW</t>
  </si>
  <si>
    <t>Street Lighting</t>
  </si>
  <si>
    <t>Unmetred Scattered Load</t>
  </si>
  <si>
    <t>Customer Usage</t>
  </si>
  <si>
    <t>Res kWh</t>
  </si>
  <si>
    <t>GS&lt;50 kWh</t>
  </si>
  <si>
    <t>GS&gt;50 kW</t>
  </si>
  <si>
    <t>StreetLighting kW</t>
  </si>
  <si>
    <t>StreetLighting kWh</t>
  </si>
  <si>
    <t>Sentinel kW</t>
  </si>
  <si>
    <t>Summary of Load and Customer/Connection Forecast</t>
  </si>
  <si>
    <t>Growth (kWh)</t>
  </si>
  <si>
    <t>Percentage Change %</t>
  </si>
  <si>
    <t>Growth</t>
  </si>
  <si>
    <t>Perecentage Change %</t>
  </si>
  <si>
    <t>Customer / Connection Count</t>
  </si>
  <si>
    <t>Sentinel kWh</t>
  </si>
  <si>
    <t>Sentinel Connections</t>
  </si>
  <si>
    <t>Unmetered Scattered Load kWH</t>
  </si>
  <si>
    <t>Unmetered Scattered load Connections</t>
  </si>
  <si>
    <t>Summary of Customer/Connection</t>
  </si>
  <si>
    <t>Customer Count/Customer Connections</t>
  </si>
  <si>
    <t>HDD Year</t>
  </si>
  <si>
    <t>CDD Year</t>
  </si>
  <si>
    <t>Number of Customer Year</t>
  </si>
  <si>
    <t>Actual kWh Purchased</t>
  </si>
  <si>
    <t>Predicted kWh</t>
  </si>
  <si>
    <t>Purchased vs Predicted</t>
  </si>
  <si>
    <t>Adjusted kWh</t>
  </si>
  <si>
    <t>USF Weather Normal Load Forecast for 2024 Rate Application</t>
  </si>
  <si>
    <t>Number of Customers Res and GS&lt;50</t>
  </si>
  <si>
    <t>covid Flag</t>
  </si>
  <si>
    <t>Check - must be zero</t>
  </si>
  <si>
    <t>Last 10 years</t>
  </si>
  <si>
    <t>Last 5 years</t>
  </si>
  <si>
    <t>Demand only</t>
  </si>
  <si>
    <t>Losses??</t>
  </si>
  <si>
    <t>Real Ontario GDP (chained $1997 with Base 100 in 1997) %</t>
  </si>
  <si>
    <t>2014 Actual</t>
  </si>
  <si>
    <t>2020 Actual</t>
  </si>
  <si>
    <t>2021 Actual</t>
  </si>
  <si>
    <t>2022 Actual</t>
  </si>
  <si>
    <t>2023 Bridge</t>
  </si>
  <si>
    <t>2024 Test</t>
  </si>
  <si>
    <t>Weather Normal</t>
  </si>
  <si>
    <t>Weather Actual</t>
  </si>
  <si>
    <t>WN/WA</t>
  </si>
  <si>
    <t>RPP</t>
  </si>
  <si>
    <t>non-RPP</t>
  </si>
  <si>
    <t>Class A</t>
  </si>
  <si>
    <t>GS &lt; 50</t>
  </si>
  <si>
    <t>GS &gt; 50</t>
  </si>
  <si>
    <t>Embedded Distributor</t>
  </si>
  <si>
    <t>Street Light</t>
  </si>
  <si>
    <t>Sentinel Light</t>
  </si>
  <si>
    <t>USL</t>
  </si>
  <si>
    <t>2024 Forecast</t>
  </si>
  <si>
    <t>WMP</t>
  </si>
  <si>
    <t>Total no losses</t>
  </si>
  <si>
    <t>with losses</t>
  </si>
  <si>
    <t>Total w losses</t>
  </si>
  <si>
    <t>Total w WMP</t>
  </si>
  <si>
    <t>From 2022 RRR kW, no losses on Demand</t>
  </si>
  <si>
    <t>Total without WMP</t>
  </si>
  <si>
    <t>Used the calculated growth factor below, except for Residential which is based on expected subdivision connections-92 in 2023 and 145 in 2024</t>
  </si>
  <si>
    <t>New Loss factor</t>
  </si>
  <si>
    <t>Proof</t>
  </si>
  <si>
    <t>2024 Forecast with losses</t>
  </si>
  <si>
    <t>Total no WMP</t>
  </si>
  <si>
    <t>From 2022 RRR kWh, this is non-loss-adjusted data, METERED DATA</t>
  </si>
  <si>
    <t>2014 BA</t>
  </si>
  <si>
    <t>Billed GWh</t>
  </si>
  <si>
    <t>2014 Board Approved</t>
  </si>
  <si>
    <t>Billed kWh</t>
  </si>
  <si>
    <t>Variable</t>
  </si>
  <si>
    <t>Adjusted R-Square</t>
  </si>
  <si>
    <t>Impact on Final R-Squared</t>
  </si>
  <si>
    <t>Equation Parameters</t>
  </si>
  <si>
    <t>Multiple Regression Equation</t>
  </si>
  <si>
    <t>No of Days in Month</t>
  </si>
  <si>
    <t>No of Peak Hours</t>
  </si>
  <si>
    <t>???</t>
  </si>
  <si>
    <t>Growth rate in Customer/Connections</t>
  </si>
  <si>
    <t>Unmetered Scattered Load</t>
  </si>
  <si>
    <t>Historical Annual Usage per Customer (kWh)</t>
  </si>
  <si>
    <t>Residential Variance</t>
  </si>
  <si>
    <t>Customer Count</t>
  </si>
  <si>
    <t>% Change</t>
  </si>
  <si>
    <t>GS&lt;50 Variance</t>
  </si>
  <si>
    <t>GS&gt;50 Variance</t>
  </si>
  <si>
    <t>Streetlights Variance</t>
  </si>
  <si>
    <t>Sentinel Lights Variance</t>
  </si>
  <si>
    <t>Unmetered Scattered Load Variance</t>
  </si>
  <si>
    <t>Variance Analysis by Class</t>
  </si>
  <si>
    <t>Customer Class</t>
  </si>
  <si>
    <t>Variance</t>
  </si>
  <si>
    <t>StreetLights</t>
  </si>
  <si>
    <t>Totals</t>
  </si>
  <si>
    <t>Cust/Conn</t>
  </si>
  <si>
    <t>Customers</t>
  </si>
  <si>
    <t>Connections</t>
  </si>
  <si>
    <t>kWh/kW</t>
  </si>
  <si>
    <t>GS&lt;50 kW</t>
  </si>
  <si>
    <t>Weather Normalization Factor</t>
  </si>
  <si>
    <t>Weather normalization factor</t>
  </si>
  <si>
    <t>2014 Board Approved vs 2014 Actual</t>
  </si>
  <si>
    <t>Customers/Connections</t>
  </si>
  <si>
    <t>Units</t>
  </si>
  <si>
    <t>Volume</t>
  </si>
  <si>
    <t>Annual Usage per Customer/Connection</t>
  </si>
  <si>
    <t>Weather Normal Conversion Factor</t>
  </si>
  <si>
    <t>Annual Usage per Customer/Connection (WN)</t>
  </si>
  <si>
    <t>Volume - (WN)</t>
  </si>
  <si>
    <t>Volumes kWh/kW</t>
  </si>
  <si>
    <t>Count</t>
  </si>
  <si>
    <t>%</t>
  </si>
  <si>
    <t>2015 Actual</t>
  </si>
  <si>
    <t>2015 Actual vs 2014 Actual</t>
  </si>
  <si>
    <t>2016 Actual</t>
  </si>
  <si>
    <t>2017 Actual</t>
  </si>
  <si>
    <t>2018 Actual</t>
  </si>
  <si>
    <t>2019 Actual</t>
  </si>
  <si>
    <t>Connection Count</t>
  </si>
  <si>
    <t>Street Lights (conn)</t>
  </si>
  <si>
    <t>Sentinel Lights (conn)</t>
  </si>
  <si>
    <t>USL (conn)</t>
  </si>
  <si>
    <t>2024 Test Year</t>
  </si>
  <si>
    <t># of Customers</t>
  </si>
  <si>
    <t>Actual Purchased Energy (GWh)</t>
  </si>
  <si>
    <t>Predicted Purchased Energy (GWh)</t>
  </si>
  <si>
    <t>Predicted Weather Normal</t>
  </si>
  <si>
    <t>Actual Weather Normal</t>
  </si>
  <si>
    <t>Weather Sensitivity</t>
  </si>
  <si>
    <t>2023 Bridge Non-WN Billed Energy Forecast</t>
  </si>
  <si>
    <t>2023 Bridge WN Adjustment</t>
  </si>
  <si>
    <t>2023 Bridge WN Billed Energy Forecast</t>
  </si>
  <si>
    <t>2024 Test Non-WN Billed Energy Forecast</t>
  </si>
  <si>
    <t>2024 Test WN Adjustment</t>
  </si>
  <si>
    <t>2024 Test WN Billed Energy Forecast</t>
  </si>
  <si>
    <t>Distribution-no SLFL</t>
  </si>
  <si>
    <t>Table 3-4</t>
  </si>
  <si>
    <t>Table 3-6</t>
  </si>
  <si>
    <t>3-8</t>
  </si>
  <si>
    <t>Table 1-3</t>
  </si>
  <si>
    <t>2024 Test MIFRS</t>
  </si>
  <si>
    <t>Table 1-4</t>
  </si>
  <si>
    <t>2024 Forecast without losses, Metered</t>
  </si>
  <si>
    <t>no losses</t>
  </si>
  <si>
    <t>Subdivision Connections</t>
  </si>
  <si>
    <t>Using Geomean</t>
  </si>
  <si>
    <t>Using Connections</t>
  </si>
  <si>
    <t>Percent Growth</t>
  </si>
  <si>
    <t>Growth Rate</t>
  </si>
  <si>
    <t>2023 Average</t>
  </si>
  <si>
    <t>2023 Growth Rate</t>
  </si>
  <si>
    <t>2014-2023 Geomean</t>
  </si>
  <si>
    <t>2024 Customers</t>
  </si>
  <si>
    <t>Actual 2023 Number of Customers</t>
  </si>
  <si>
    <t>Month</t>
  </si>
  <si>
    <t>Actual number of customers to Dec 2023</t>
  </si>
  <si>
    <t>Originally</t>
  </si>
  <si>
    <t>Interrogatories</t>
  </si>
  <si>
    <t>Original application</t>
  </si>
  <si>
    <t>2023 YTD</t>
  </si>
  <si>
    <t>Changed in IRs to include 2014 to 2023</t>
  </si>
  <si>
    <t>Oct 2022 to Sept 2023</t>
  </si>
  <si>
    <t>3-Staff-23</t>
  </si>
  <si>
    <t>Usage per Customer</t>
  </si>
  <si>
    <t>Revised Load Forecast</t>
  </si>
  <si>
    <t>Scenario</t>
  </si>
  <si>
    <t>2024 Load</t>
  </si>
  <si>
    <t>kWh Billed</t>
  </si>
  <si>
    <t>Oct 2022 to Sept 2023 Average</t>
  </si>
  <si>
    <t>GS&gt;50 kWh Meter Multiplier Adjustment</t>
  </si>
  <si>
    <t>GS&gt;50 kW Meter Multiplier Adjustment</t>
  </si>
  <si>
    <t>2024 res customers=Dec 2023 + # of subdivision connection/2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</si>
</sst>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0.0"/>
    <numFmt numFmtId="166" formatCode="#,##0;\(#,##0\)"/>
    <numFmt numFmtId="167" formatCode="0.0000"/>
    <numFmt numFmtId="168" formatCode="#,##0.0000"/>
    <numFmt numFmtId="169" formatCode="0.0000%"/>
    <numFmt numFmtId="170" formatCode="_(* #,##0_);_(* \(#,##0\);_(* &quot;-&quot;??_);_(@_)"/>
    <numFmt numFmtId="171" formatCode="_(* #,##0.0_);_(* \(#,##0.0\);_(* &quot;-&quot;??_);_(@_)"/>
    <numFmt numFmtId="172" formatCode="#,##0.0"/>
    <numFmt numFmtId="173" formatCode="mm/dd/yyyy"/>
    <numFmt numFmtId="174" formatCode="0\-0"/>
    <numFmt numFmtId="175" formatCode="##\-#"/>
    <numFmt numFmtId="176" formatCode="&quot;£ &quot;#,##0.00;[Red]\-&quot;£ &quot;#,##0.00"/>
    <numFmt numFmtId="177" formatCode="#,##0.0;\-#,##0.0"/>
    <numFmt numFmtId="178" formatCode="_-&quot;$&quot;* #,##0.00_-;\-&quot;$&quot;* #,##0.00_-;_-&quot;$&quot;* &quot;-&quot;??_-;_-@_-"/>
    <numFmt numFmtId="179" formatCode="_-* #,##0.00_-;\-* #,##0.00_-;_-* &quot;-&quot;??_-;_-@_-"/>
    <numFmt numFmtId="180" formatCode="#,##0.0_);\(#,##0.0\)"/>
    <numFmt numFmtId="181" formatCode="0.0%;\(0.0%\)"/>
    <numFmt numFmtId="182" formatCode="0.000000"/>
    <numFmt numFmtId="183" formatCode="0.0000000000"/>
  </numFmts>
  <fonts count="7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4"/>
      <name val="Arial"/>
      <family val="2"/>
    </font>
    <font>
      <sz val="10"/>
      <name val="Times New Roman"/>
      <family val="1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b/>
      <sz val="18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b/>
      <i/>
      <u/>
      <sz val="12"/>
      <color rgb="FF000000"/>
      <name val="Arial"/>
      <family val="2"/>
    </font>
    <font>
      <u/>
      <sz val="10"/>
      <color theme="10"/>
      <name val="Times New Roman"/>
      <family val="1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theme="3"/>
      <name val="Arial"/>
      <family val="2"/>
    </font>
    <font>
      <sz val="10"/>
      <color theme="3"/>
      <name val="Arial"/>
      <family val="2"/>
    </font>
  </fonts>
  <fills count="72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00639A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CCFFCC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524">
    <xf numFmtId="0" fontId="0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5" borderId="1" applyNumberFormat="0" applyProtection="0">
      <alignment horizontal="left" vertical="center"/>
    </xf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5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6" fillId="0" borderId="0"/>
    <xf numFmtId="172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3" fontId="6" fillId="0" borderId="0"/>
    <xf numFmtId="174" fontId="6" fillId="0" borderId="0"/>
    <xf numFmtId="173" fontId="6" fillId="0" borderId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4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30" fillId="16" borderId="0" applyNumberFormat="0" applyBorder="0" applyAlignment="0" applyProtection="0"/>
    <xf numFmtId="0" fontId="30" fillId="20" borderId="0" applyNumberFormat="0" applyBorder="0" applyAlignment="0" applyProtection="0"/>
    <xf numFmtId="0" fontId="30" fillId="24" borderId="0" applyNumberFormat="0" applyBorder="0" applyAlignment="0" applyProtection="0"/>
    <xf numFmtId="0" fontId="30" fillId="28" borderId="0" applyNumberFormat="0" applyBorder="0" applyAlignment="0" applyProtection="0"/>
    <xf numFmtId="0" fontId="30" fillId="32" borderId="0" applyNumberFormat="0" applyBorder="0" applyAlignment="0" applyProtection="0"/>
    <xf numFmtId="0" fontId="30" fillId="36" borderId="0" applyNumberFormat="0" applyBorder="0" applyAlignment="0" applyProtection="0"/>
    <xf numFmtId="0" fontId="30" fillId="13" borderId="0" applyNumberFormat="0" applyBorder="0" applyAlignment="0" applyProtection="0"/>
    <xf numFmtId="0" fontId="30" fillId="17" borderId="0" applyNumberFormat="0" applyBorder="0" applyAlignment="0" applyProtection="0"/>
    <xf numFmtId="0" fontId="30" fillId="21" borderId="0" applyNumberFormat="0" applyBorder="0" applyAlignment="0" applyProtection="0"/>
    <xf numFmtId="0" fontId="30" fillId="25" borderId="0" applyNumberFormat="0" applyBorder="0" applyAlignment="0" applyProtection="0"/>
    <xf numFmtId="0" fontId="30" fillId="29" borderId="0" applyNumberFormat="0" applyBorder="0" applyAlignment="0" applyProtection="0"/>
    <xf numFmtId="0" fontId="30" fillId="33" borderId="0" applyNumberFormat="0" applyBorder="0" applyAlignment="0" applyProtection="0"/>
    <xf numFmtId="0" fontId="21" fillId="7" borderId="0" applyNumberFormat="0" applyBorder="0" applyAlignment="0" applyProtection="0"/>
    <xf numFmtId="0" fontId="25" fillId="10" borderId="14" applyNumberFormat="0" applyAlignment="0" applyProtection="0"/>
    <xf numFmtId="0" fontId="27" fillId="11" borderId="17" applyNumberFormat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0" fillId="6" borderId="0" applyNumberFormat="0" applyBorder="0" applyAlignment="0" applyProtection="0"/>
    <xf numFmtId="38" fontId="12" fillId="37" borderId="0" applyNumberFormat="0" applyBorder="0" applyAlignment="0" applyProtection="0"/>
    <xf numFmtId="38" fontId="12" fillId="37" borderId="0" applyNumberFormat="0" applyBorder="0" applyAlignment="0" applyProtection="0"/>
    <xf numFmtId="0" fontId="17" fillId="0" borderId="11" applyNumberFormat="0" applyFill="0" applyAlignment="0" applyProtection="0"/>
    <xf numFmtId="0" fontId="18" fillId="0" borderId="12" applyNumberFormat="0" applyFill="0" applyAlignment="0" applyProtection="0"/>
    <xf numFmtId="0" fontId="19" fillId="0" borderId="13" applyNumberFormat="0" applyFill="0" applyAlignment="0" applyProtection="0"/>
    <xf numFmtId="0" fontId="19" fillId="0" borderId="0" applyNumberFormat="0" applyFill="0" applyBorder="0" applyAlignment="0" applyProtection="0"/>
    <xf numFmtId="10" fontId="12" fillId="38" borderId="1" applyNumberFormat="0" applyBorder="0" applyAlignment="0" applyProtection="0"/>
    <xf numFmtId="10" fontId="12" fillId="38" borderId="1" applyNumberFormat="0" applyBorder="0" applyAlignment="0" applyProtection="0"/>
    <xf numFmtId="0" fontId="23" fillId="9" borderId="14" applyNumberFormat="0" applyAlignment="0" applyProtection="0"/>
    <xf numFmtId="0" fontId="26" fillId="0" borderId="16" applyNumberFormat="0" applyFill="0" applyAlignment="0" applyProtection="0"/>
    <xf numFmtId="175" fontId="6" fillId="0" borderId="0"/>
    <xf numFmtId="170" fontId="6" fillId="0" borderId="0"/>
    <xf numFmtId="175" fontId="6" fillId="0" borderId="0"/>
    <xf numFmtId="175" fontId="6" fillId="0" borderId="0"/>
    <xf numFmtId="175" fontId="6" fillId="0" borderId="0"/>
    <xf numFmtId="175" fontId="6" fillId="0" borderId="0"/>
    <xf numFmtId="0" fontId="22" fillId="8" borderId="0" applyNumberFormat="0" applyBorder="0" applyAlignment="0" applyProtection="0"/>
    <xf numFmtId="176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12" borderId="18" applyNumberFormat="0" applyFont="0" applyAlignment="0" applyProtection="0"/>
    <xf numFmtId="0" fontId="24" fillId="10" borderId="15" applyNumberFormat="0" applyAlignment="0" applyProtection="0"/>
    <xf numFmtId="10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1" fillId="0" borderId="0" applyNumberFormat="0" applyBorder="0" applyAlignment="0"/>
    <xf numFmtId="0" fontId="32" fillId="0" borderId="0" applyNumberFormat="0" applyBorder="0" applyAlignment="0"/>
    <xf numFmtId="0" fontId="33" fillId="0" borderId="0" applyNumberFormat="0" applyBorder="0" applyAlignment="0"/>
    <xf numFmtId="0" fontId="34" fillId="0" borderId="20">
      <alignment horizontal="center" vertical="center"/>
    </xf>
    <xf numFmtId="0" fontId="16" fillId="0" borderId="0" applyNumberFormat="0" applyFill="0" applyBorder="0" applyAlignment="0" applyProtection="0"/>
    <xf numFmtId="0" fontId="15" fillId="0" borderId="19" applyNumberFormat="0" applyFill="0" applyAlignment="0" applyProtection="0"/>
    <xf numFmtId="0" fontId="28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35" fillId="0" borderId="0"/>
    <xf numFmtId="43" fontId="35" fillId="0" borderId="0" applyFont="0" applyFill="0" applyBorder="0" applyAlignment="0" applyProtection="0"/>
    <xf numFmtId="0" fontId="35" fillId="0" borderId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16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0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17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3" fillId="10" borderId="14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0" fontId="44" fillId="11" borderId="17" applyNumberFormat="0" applyAlignment="0" applyProtection="0"/>
    <xf numFmtId="179" fontId="35" fillId="0" borderId="0" applyFont="0" applyFill="0" applyBorder="0" applyAlignment="0" applyProtection="0"/>
    <xf numFmtId="43" fontId="39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6" fillId="6" borderId="0" applyNumberFormat="0" applyBorder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8" fillId="0" borderId="12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13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0" fillId="9" borderId="14" applyNumberFormat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52" fillId="8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31" fillId="12" borderId="18" applyNumberFormat="0" applyFon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0" fontId="53" fillId="10" borderId="15" applyNumberFormat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54" fillId="0" borderId="19" applyNumberFormat="0" applyFill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178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9" fontId="1" fillId="0" borderId="0" applyFont="0" applyFill="0" applyBorder="0" applyAlignment="0" applyProtection="0"/>
    <xf numFmtId="178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5" borderId="1" applyNumberFormat="0" applyProtection="0">
      <alignment horizontal="left" vertical="center"/>
    </xf>
    <xf numFmtId="0" fontId="6" fillId="5" borderId="1" applyNumberFormat="0" applyProtection="0">
      <alignment horizontal="left" vertical="center"/>
    </xf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35" fillId="0" borderId="0"/>
    <xf numFmtId="43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35" fillId="0" borderId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5" fillId="0" borderId="0"/>
    <xf numFmtId="179" fontId="35" fillId="0" borderId="0" applyFont="0" applyFill="0" applyBorder="0" applyAlignment="0" applyProtection="0"/>
    <xf numFmtId="0" fontId="1" fillId="0" borderId="0"/>
    <xf numFmtId="0" fontId="1" fillId="0" borderId="0"/>
    <xf numFmtId="9" fontId="35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41" borderId="0" applyNumberFormat="0" applyBorder="0" applyAlignment="0" applyProtection="0"/>
    <xf numFmtId="0" fontId="39" fillId="42" borderId="0" applyNumberFormat="0" applyBorder="0" applyAlignment="0" applyProtection="0"/>
    <xf numFmtId="0" fontId="39" fillId="43" borderId="0" applyNumberFormat="0" applyBorder="0" applyAlignment="0" applyProtection="0"/>
    <xf numFmtId="0" fontId="39" fillId="44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9" borderId="0" applyNumberFormat="0" applyBorder="0" applyAlignment="0" applyProtection="0"/>
    <xf numFmtId="0" fontId="39" fillId="44" borderId="0" applyNumberFormat="0" applyBorder="0" applyAlignment="0" applyProtection="0"/>
    <xf numFmtId="0" fontId="39" fillId="47" borderId="0" applyNumberFormat="0" applyBorder="0" applyAlignment="0" applyProtection="0"/>
    <xf numFmtId="0" fontId="39" fillId="50" borderId="0" applyNumberFormat="0" applyBorder="0" applyAlignment="0" applyProtection="0"/>
    <xf numFmtId="0" fontId="58" fillId="51" borderId="0" applyNumberFormat="0" applyBorder="0" applyAlignment="0" applyProtection="0"/>
    <xf numFmtId="0" fontId="58" fillId="48" borderId="0" applyNumberFormat="0" applyBorder="0" applyAlignment="0" applyProtection="0"/>
    <xf numFmtId="0" fontId="58" fillId="49" borderId="0" applyNumberFormat="0" applyBorder="0" applyAlignment="0" applyProtection="0"/>
    <xf numFmtId="0" fontId="58" fillId="52" borderId="0" applyNumberFormat="0" applyBorder="0" applyAlignment="0" applyProtection="0"/>
    <xf numFmtId="0" fontId="58" fillId="53" borderId="0" applyNumberFormat="0" applyBorder="0" applyAlignment="0" applyProtection="0"/>
    <xf numFmtId="0" fontId="58" fillId="54" borderId="0" applyNumberFormat="0" applyBorder="0" applyAlignment="0" applyProtection="0"/>
    <xf numFmtId="0" fontId="58" fillId="55" borderId="0" applyNumberFormat="0" applyBorder="0" applyAlignment="0" applyProtection="0"/>
    <xf numFmtId="0" fontId="58" fillId="56" borderId="0" applyNumberFormat="0" applyBorder="0" applyAlignment="0" applyProtection="0"/>
    <xf numFmtId="0" fontId="58" fillId="57" borderId="0" applyNumberFormat="0" applyBorder="0" applyAlignment="0" applyProtection="0"/>
    <xf numFmtId="0" fontId="60" fillId="59" borderId="21" applyNumberFormat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69" fillId="61" borderId="0" applyNumberFormat="0" applyBorder="0" applyAlignment="0" applyProtection="0"/>
    <xf numFmtId="0" fontId="71" fillId="0" borderId="0" applyNumberFormat="0" applyFill="0" applyBorder="0" applyAlignment="0" applyProtection="0"/>
    <xf numFmtId="0" fontId="72" fillId="0" borderId="29" applyNumberFormat="0" applyFill="0" applyAlignment="0" applyProtection="0"/>
    <xf numFmtId="0" fontId="73" fillId="0" borderId="0" applyNumberFormat="0" applyFill="0" applyBorder="0" applyAlignment="0" applyProtection="0"/>
    <xf numFmtId="0" fontId="6" fillId="0" borderId="0"/>
    <xf numFmtId="0" fontId="18" fillId="0" borderId="12" applyNumberFormat="0" applyFill="0" applyAlignment="0" applyProtection="0"/>
    <xf numFmtId="0" fontId="17" fillId="0" borderId="11" applyNumberFormat="0" applyFill="0" applyAlignment="0" applyProtection="0"/>
    <xf numFmtId="0" fontId="1" fillId="0" borderId="0"/>
    <xf numFmtId="0" fontId="19" fillId="0" borderId="13" applyNumberFormat="0" applyFill="0" applyAlignment="0" applyProtection="0"/>
    <xf numFmtId="0" fontId="19" fillId="0" borderId="0" applyNumberFormat="0" applyFill="0" applyBorder="0" applyAlignment="0" applyProtection="0"/>
    <xf numFmtId="0" fontId="20" fillId="6" borderId="0" applyNumberFormat="0" applyBorder="0" applyAlignment="0" applyProtection="0"/>
    <xf numFmtId="0" fontId="21" fillId="7" borderId="0" applyNumberFormat="0" applyBorder="0" applyAlignment="0" applyProtection="0"/>
    <xf numFmtId="0" fontId="22" fillId="8" borderId="0" applyNumberFormat="0" applyBorder="0" applyAlignment="0" applyProtection="0"/>
    <xf numFmtId="0" fontId="23" fillId="9" borderId="14" applyNumberFormat="0" applyAlignment="0" applyProtection="0"/>
    <xf numFmtId="0" fontId="24" fillId="10" borderId="15" applyNumberFormat="0" applyAlignment="0" applyProtection="0"/>
    <xf numFmtId="0" fontId="25" fillId="10" borderId="14" applyNumberFormat="0" applyAlignment="0" applyProtection="0"/>
    <xf numFmtId="0" fontId="26" fillId="0" borderId="16" applyNumberFormat="0" applyFill="0" applyAlignment="0" applyProtection="0"/>
    <xf numFmtId="0" fontId="27" fillId="11" borderId="17" applyNumberFormat="0" applyAlignment="0" applyProtection="0"/>
    <xf numFmtId="0" fontId="28" fillId="0" borderId="0" applyNumberFormat="0" applyFill="0" applyBorder="0" applyAlignment="0" applyProtection="0"/>
    <xf numFmtId="0" fontId="1" fillId="12" borderId="18" applyNumberFormat="0" applyFont="0" applyAlignment="0" applyProtection="0"/>
    <xf numFmtId="0" fontId="29" fillId="0" borderId="0" applyNumberFormat="0" applyFill="0" applyBorder="0" applyAlignment="0" applyProtection="0"/>
    <xf numFmtId="0" fontId="15" fillId="0" borderId="19" applyNumberFormat="0" applyFill="0" applyAlignment="0" applyProtection="0"/>
    <xf numFmtId="0" fontId="3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30" fillId="36" borderId="0" applyNumberFormat="0" applyBorder="0" applyAlignment="0" applyProtection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8" fontId="6" fillId="0" borderId="0" applyFont="0" applyFill="0" applyBorder="0" applyAlignment="0" applyProtection="0"/>
    <xf numFmtId="0" fontId="1" fillId="0" borderId="0"/>
    <xf numFmtId="0" fontId="1" fillId="0" borderId="0"/>
    <xf numFmtId="0" fontId="70" fillId="59" borderId="28" applyNumberFormat="0" applyAlignment="0" applyProtection="0"/>
    <xf numFmtId="0" fontId="61" fillId="60" borderId="22" applyNumberFormat="0" applyAlignment="0" applyProtection="0"/>
    <xf numFmtId="0" fontId="67" fillId="46" borderId="21" applyNumberFormat="0" applyAlignment="0" applyProtection="0"/>
    <xf numFmtId="0" fontId="6" fillId="62" borderId="27" applyNumberFormat="0" applyFont="0" applyAlignment="0" applyProtection="0"/>
    <xf numFmtId="0" fontId="63" fillId="43" borderId="0" applyNumberFormat="0" applyBorder="0" applyAlignment="0" applyProtection="0"/>
    <xf numFmtId="0" fontId="59" fillId="42" borderId="0" applyNumberFormat="0" applyBorder="0" applyAlignment="0" applyProtection="0"/>
    <xf numFmtId="0" fontId="66" fillId="0" borderId="25" applyNumberFormat="0" applyFill="0" applyAlignment="0" applyProtection="0"/>
    <xf numFmtId="0" fontId="65" fillId="0" borderId="24" applyNumberFormat="0" applyFill="0" applyAlignment="0" applyProtection="0"/>
    <xf numFmtId="0" fontId="62" fillId="0" borderId="0" applyNumberFormat="0" applyFill="0" applyBorder="0" applyAlignment="0" applyProtection="0"/>
    <xf numFmtId="0" fontId="64" fillId="0" borderId="23" applyNumberFormat="0" applyFill="0" applyAlignment="0" applyProtection="0"/>
    <xf numFmtId="0" fontId="56" fillId="0" borderId="0" applyNumberForma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58" fillId="5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58" fillId="58" borderId="0" applyNumberFormat="0" applyBorder="0" applyAlignment="0" applyProtection="0"/>
    <xf numFmtId="0" fontId="58" fillId="52" borderId="0" applyNumberFormat="0" applyBorder="0" applyAlignment="0" applyProtection="0"/>
    <xf numFmtId="17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35" fillId="0" borderId="0"/>
    <xf numFmtId="0" fontId="68" fillId="0" borderId="26" applyNumberFormat="0" applyFill="0" applyAlignment="0" applyProtection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66" fillId="0" borderId="0" applyNumberForma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0" fontId="6" fillId="0" borderId="0"/>
    <xf numFmtId="0" fontId="67" fillId="46" borderId="21" applyNumberFormat="0" applyAlignment="0" applyProtection="0"/>
    <xf numFmtId="0" fontId="67" fillId="46" borderId="21" applyNumberFormat="0" applyAlignment="0" applyProtection="0"/>
    <xf numFmtId="0" fontId="67" fillId="46" borderId="2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7" fillId="46" borderId="21" applyNumberFormat="0" applyAlignment="0" applyProtection="0"/>
    <xf numFmtId="0" fontId="6" fillId="0" borderId="0"/>
    <xf numFmtId="0" fontId="35" fillId="0" borderId="0"/>
    <xf numFmtId="0" fontId="1" fillId="0" borderId="0"/>
    <xf numFmtId="0" fontId="1" fillId="0" borderId="0"/>
    <xf numFmtId="9" fontId="35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" fillId="0" borderId="0"/>
    <xf numFmtId="0" fontId="6" fillId="0" borderId="0"/>
    <xf numFmtId="9" fontId="35" fillId="0" borderId="0" applyFont="0" applyFill="0" applyBorder="0" applyAlignment="0" applyProtection="0"/>
    <xf numFmtId="0" fontId="35" fillId="0" borderId="0"/>
    <xf numFmtId="9" fontId="6" fillId="0" borderId="0" applyFont="0" applyFill="0" applyBorder="0" applyAlignment="0" applyProtection="0"/>
    <xf numFmtId="0" fontId="6" fillId="0" borderId="0"/>
    <xf numFmtId="9" fontId="35" fillId="0" borderId="0" applyFont="0" applyFill="0" applyBorder="0" applyAlignment="0" applyProtection="0"/>
    <xf numFmtId="0" fontId="35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71" fillId="0" borderId="0" applyNumberFormat="0" applyFill="0" applyBorder="0" applyAlignment="0" applyProtection="0"/>
    <xf numFmtId="0" fontId="1" fillId="0" borderId="0"/>
    <xf numFmtId="178" fontId="3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0" fontId="1" fillId="0" borderId="0"/>
    <xf numFmtId="0" fontId="35" fillId="0" borderId="0"/>
    <xf numFmtId="179" fontId="35" fillId="0" borderId="0" applyFont="0" applyFill="0" applyBorder="0" applyAlignment="0" applyProtection="0"/>
    <xf numFmtId="0" fontId="1" fillId="0" borderId="0"/>
    <xf numFmtId="0" fontId="1" fillId="0" borderId="0"/>
    <xf numFmtId="9" fontId="3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0" fontId="35" fillId="0" borderId="0"/>
    <xf numFmtId="9" fontId="3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1" fillId="0" borderId="0"/>
    <xf numFmtId="0" fontId="56" fillId="0" borderId="0" applyNumberFormat="0" applyFill="0" applyBorder="0" applyAlignment="0" applyProtection="0"/>
  </cellStyleXfs>
  <cellXfs count="260">
    <xf numFmtId="0" fontId="0" fillId="0" borderId="0" xfId="0"/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17" fontId="0" fillId="0" borderId="0" xfId="0" applyNumberFormat="1"/>
    <xf numFmtId="0" fontId="0" fillId="0" borderId="0" xfId="0" applyAlignment="1">
      <alignment horizontal="right"/>
    </xf>
    <xf numFmtId="164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3" fontId="8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 wrapText="1"/>
    </xf>
    <xf numFmtId="3" fontId="8" fillId="0" borderId="0" xfId="0" applyNumberFormat="1" applyFont="1" applyAlignment="1">
      <alignment horizontal="center" wrapText="1"/>
    </xf>
    <xf numFmtId="37" fontId="7" fillId="0" borderId="0" xfId="0" applyNumberFormat="1" applyFont="1" applyAlignment="1">
      <alignment horizontal="center"/>
    </xf>
    <xf numFmtId="3" fontId="6" fillId="0" borderId="0" xfId="1" applyNumberFormat="1" applyAlignment="1">
      <alignment horizontal="center"/>
    </xf>
    <xf numFmtId="164" fontId="7" fillId="0" borderId="0" xfId="0" applyNumberFormat="1" applyFont="1" applyAlignment="1">
      <alignment horizontal="center"/>
    </xf>
    <xf numFmtId="10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/>
    <xf numFmtId="3" fontId="0" fillId="2" borderId="0" xfId="0" applyNumberFormat="1" applyFill="1" applyAlignment="1">
      <alignment horizontal="center"/>
    </xf>
    <xf numFmtId="17" fontId="9" fillId="0" borderId="0" xfId="0" applyNumberFormat="1" applyFont="1"/>
    <xf numFmtId="167" fontId="0" fillId="0" borderId="0" xfId="0" applyNumberForma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169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right"/>
    </xf>
    <xf numFmtId="3" fontId="7" fillId="2" borderId="1" xfId="0" applyNumberFormat="1" applyFont="1" applyFill="1" applyBorder="1" applyAlignment="1">
      <alignment horizontal="center"/>
    </xf>
    <xf numFmtId="4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3" fontId="0" fillId="3" borderId="0" xfId="0" applyNumberFormat="1" applyFill="1" applyAlignment="1">
      <alignment horizontal="center"/>
    </xf>
    <xf numFmtId="3" fontId="7" fillId="3" borderId="0" xfId="0" applyNumberFormat="1" applyFont="1" applyFill="1" applyAlignment="1">
      <alignment horizontal="center"/>
    </xf>
    <xf numFmtId="0" fontId="0" fillId="0" borderId="0" xfId="0" applyAlignment="1">
      <alignment horizontal="left"/>
    </xf>
    <xf numFmtId="3" fontId="9" fillId="0" borderId="0" xfId="0" applyNumberFormat="1" applyFont="1"/>
    <xf numFmtId="0" fontId="10" fillId="0" borderId="0" xfId="0" applyFont="1"/>
    <xf numFmtId="164" fontId="0" fillId="0" borderId="0" xfId="0" applyNumberFormat="1" applyAlignment="1">
      <alignment horizontal="center" wrapText="1"/>
    </xf>
    <xf numFmtId="0" fontId="9" fillId="0" borderId="0" xfId="0" applyFont="1" applyAlignment="1">
      <alignment horizontal="center" wrapText="1"/>
    </xf>
    <xf numFmtId="3" fontId="8" fillId="3" borderId="0" xfId="0" applyNumberFormat="1" applyFont="1" applyFill="1" applyAlignment="1">
      <alignment horizontal="center"/>
    </xf>
    <xf numFmtId="3" fontId="7" fillId="3" borderId="0" xfId="0" applyNumberFormat="1" applyFont="1" applyFill="1" applyAlignment="1">
      <alignment horizontal="center" wrapText="1"/>
    </xf>
    <xf numFmtId="3" fontId="8" fillId="3" borderId="0" xfId="0" applyNumberFormat="1" applyFont="1" applyFill="1" applyAlignment="1">
      <alignment horizontal="center" wrapText="1"/>
    </xf>
    <xf numFmtId="37" fontId="0" fillId="0" borderId="0" xfId="0" applyNumberFormat="1" applyAlignment="1">
      <alignment horizontal="center"/>
    </xf>
    <xf numFmtId="17" fontId="0" fillId="0" borderId="0" xfId="0" applyNumberFormat="1" applyAlignment="1">
      <alignment horizontal="left"/>
    </xf>
    <xf numFmtId="170" fontId="0" fillId="0" borderId="0" xfId="1" applyNumberFormat="1" applyFont="1" applyAlignment="1">
      <alignment horizontal="center"/>
    </xf>
    <xf numFmtId="3" fontId="0" fillId="0" borderId="0" xfId="0" applyNumberFormat="1"/>
    <xf numFmtId="170" fontId="0" fillId="0" borderId="0" xfId="0" applyNumberFormat="1" applyAlignment="1">
      <alignment horizontal="center"/>
    </xf>
    <xf numFmtId="3" fontId="0" fillId="4" borderId="0" xfId="0" applyNumberFormat="1" applyFill="1" applyAlignment="1">
      <alignment horizontal="center"/>
    </xf>
    <xf numFmtId="3" fontId="7" fillId="4" borderId="1" xfId="0" applyNumberFormat="1" applyFont="1" applyFill="1" applyBorder="1" applyAlignment="1">
      <alignment horizontal="center"/>
    </xf>
    <xf numFmtId="3" fontId="13" fillId="0" borderId="0" xfId="0" applyNumberFormat="1" applyFont="1" applyAlignment="1">
      <alignment horizontal="left"/>
    </xf>
    <xf numFmtId="164" fontId="0" fillId="0" borderId="0" xfId="2" applyNumberFormat="1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/>
    <xf numFmtId="38" fontId="0" fillId="0" borderId="0" xfId="0" applyNumberFormat="1" applyAlignment="1">
      <alignment horizontal="center"/>
    </xf>
    <xf numFmtId="1" fontId="0" fillId="0" borderId="0" xfId="0" applyNumberFormat="1"/>
    <xf numFmtId="1" fontId="0" fillId="0" borderId="0" xfId="0" applyNumberFormat="1" applyAlignment="1">
      <alignment horizontal="center"/>
    </xf>
    <xf numFmtId="3" fontId="6" fillId="3" borderId="0" xfId="0" applyNumberFormat="1" applyFont="1" applyFill="1" applyAlignment="1">
      <alignment horizontal="center" wrapText="1"/>
    </xf>
    <xf numFmtId="17" fontId="0" fillId="0" borderId="1" xfId="0" applyNumberFormat="1" applyBorder="1" applyAlignment="1">
      <alignment horizontal="left"/>
    </xf>
    <xf numFmtId="37" fontId="7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177" fontId="7" fillId="0" borderId="1" xfId="0" applyNumberFormat="1" applyFon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170" fontId="0" fillId="0" borderId="0" xfId="0" applyNumberFormat="1"/>
    <xf numFmtId="0" fontId="0" fillId="0" borderId="1" xfId="0" applyBorder="1" applyAlignment="1">
      <alignment horizontal="left"/>
    </xf>
    <xf numFmtId="3" fontId="8" fillId="0" borderId="1" xfId="0" applyNumberFormat="1" applyFont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4" fontId="8" fillId="0" borderId="1" xfId="0" applyNumberFormat="1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9" fontId="6" fillId="4" borderId="0" xfId="0" applyNumberFormat="1" applyFont="1" applyFill="1" applyAlignment="1">
      <alignment horizontal="center"/>
    </xf>
    <xf numFmtId="9" fontId="0" fillId="4" borderId="0" xfId="0" applyNumberFormat="1" applyFill="1" applyAlignment="1">
      <alignment horizontal="center"/>
    </xf>
    <xf numFmtId="0" fontId="6" fillId="0" borderId="0" xfId="0" quotePrefix="1" applyFont="1" applyAlignment="1">
      <alignment horizontal="center"/>
    </xf>
    <xf numFmtId="0" fontId="6" fillId="0" borderId="0" xfId="0" applyFont="1" applyAlignment="1">
      <alignment horizontal="center"/>
    </xf>
    <xf numFmtId="169" fontId="0" fillId="0" borderId="1" xfId="0" applyNumberFormat="1" applyBorder="1" applyAlignment="1">
      <alignment horizontal="center"/>
    </xf>
    <xf numFmtId="3" fontId="0" fillId="2" borderId="1" xfId="0" applyNumberFormat="1" applyFill="1" applyBorder="1" applyAlignment="1">
      <alignment horizontal="center"/>
    </xf>
    <xf numFmtId="0" fontId="6" fillId="0" borderId="0" xfId="0" applyFont="1" applyAlignment="1" applyProtection="1">
      <alignment horizontal="center"/>
      <protection locked="0"/>
    </xf>
    <xf numFmtId="2" fontId="6" fillId="0" borderId="1" xfId="482" applyNumberFormat="1" applyFont="1" applyFill="1" applyBorder="1" applyAlignment="1">
      <alignment horizontal="center"/>
    </xf>
    <xf numFmtId="0" fontId="40" fillId="0" borderId="0" xfId="0" applyFont="1" applyAlignment="1" applyProtection="1">
      <alignment horizontal="left"/>
      <protection locked="0"/>
    </xf>
    <xf numFmtId="1" fontId="6" fillId="0" borderId="1" xfId="0" applyNumberFormat="1" applyFont="1" applyBorder="1" applyAlignment="1" applyProtection="1">
      <alignment horizontal="center" wrapText="1"/>
      <protection locked="0"/>
    </xf>
    <xf numFmtId="1" fontId="6" fillId="0" borderId="0" xfId="0" applyNumberFormat="1" applyFont="1" applyAlignment="1" applyProtection="1">
      <alignment horizontal="center"/>
      <protection locked="0"/>
    </xf>
    <xf numFmtId="1" fontId="6" fillId="0" borderId="1" xfId="0" applyNumberFormat="1" applyFont="1" applyBorder="1" applyAlignment="1" applyProtection="1">
      <alignment horizontal="center"/>
      <protection locked="0"/>
    </xf>
    <xf numFmtId="1" fontId="44" fillId="63" borderId="1" xfId="0" quotePrefix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38" fillId="0" borderId="0" xfId="0" applyFont="1" applyAlignment="1" applyProtection="1">
      <alignment horizontal="left"/>
      <protection locked="0"/>
    </xf>
    <xf numFmtId="0" fontId="38" fillId="0" borderId="0" xfId="0" applyFont="1" applyAlignment="1">
      <alignment horizontal="left"/>
    </xf>
    <xf numFmtId="0" fontId="55" fillId="0" borderId="0" xfId="0" applyFont="1" applyAlignment="1">
      <alignment horizontal="left" vertical="center"/>
    </xf>
    <xf numFmtId="0" fontId="6" fillId="0" borderId="0" xfId="0" applyFont="1" applyProtection="1">
      <protection locked="0"/>
    </xf>
    <xf numFmtId="3" fontId="6" fillId="0" borderId="10" xfId="482" applyNumberFormat="1" applyFont="1" applyFill="1" applyBorder="1" applyAlignment="1">
      <alignment horizontal="center" vertical="center"/>
    </xf>
    <xf numFmtId="168" fontId="0" fillId="40" borderId="0" xfId="0" applyNumberFormat="1" applyFill="1" applyAlignment="1">
      <alignment horizontal="center"/>
    </xf>
    <xf numFmtId="1" fontId="9" fillId="64" borderId="1" xfId="0" applyNumberFormat="1" applyFont="1" applyFill="1" applyBorder="1" applyAlignment="1">
      <alignment horizontal="center"/>
    </xf>
    <xf numFmtId="2" fontId="9" fillId="64" borderId="1" xfId="482" applyNumberFormat="1" applyFont="1" applyFill="1" applyBorder="1" applyAlignment="1">
      <alignment horizontal="center"/>
    </xf>
    <xf numFmtId="1" fontId="9" fillId="64" borderId="1" xfId="482" applyNumberFormat="1" applyFont="1" applyFill="1" applyBorder="1" applyAlignment="1">
      <alignment horizontal="center"/>
    </xf>
    <xf numFmtId="3" fontId="6" fillId="0" borderId="1" xfId="482" applyNumberFormat="1" applyFont="1" applyFill="1" applyBorder="1" applyAlignment="1">
      <alignment horizontal="center"/>
    </xf>
    <xf numFmtId="3" fontId="9" fillId="64" borderId="1" xfId="0" applyNumberFormat="1" applyFont="1" applyFill="1" applyBorder="1" applyAlignment="1">
      <alignment horizontal="center"/>
    </xf>
    <xf numFmtId="0" fontId="8" fillId="0" borderId="9" xfId="0" applyFont="1" applyBorder="1" applyAlignment="1">
      <alignment horizontal="center" wrapText="1"/>
    </xf>
    <xf numFmtId="0" fontId="0" fillId="0" borderId="2" xfId="0" applyBorder="1"/>
    <xf numFmtId="0" fontId="11" fillId="0" borderId="3" xfId="0" applyFont="1" applyBorder="1" applyAlignment="1">
      <alignment horizontal="center"/>
    </xf>
    <xf numFmtId="0" fontId="11" fillId="0" borderId="3" xfId="0" applyFont="1" applyBorder="1" applyAlignment="1">
      <alignment horizontal="centerContinuous"/>
    </xf>
    <xf numFmtId="0" fontId="0" fillId="4" borderId="0" xfId="0" applyFill="1" applyAlignment="1">
      <alignment horizontal="center"/>
    </xf>
    <xf numFmtId="180" fontId="7" fillId="0" borderId="1" xfId="0" applyNumberFormat="1" applyFont="1" applyBorder="1" applyAlignment="1">
      <alignment horizontal="center"/>
    </xf>
    <xf numFmtId="1" fontId="44" fillId="63" borderId="8" xfId="0" quotePrefix="1" applyNumberFormat="1" applyFont="1" applyFill="1" applyBorder="1" applyAlignment="1">
      <alignment horizontal="center" vertical="center" wrapText="1"/>
    </xf>
    <xf numFmtId="1" fontId="44" fillId="63" borderId="6" xfId="0" quotePrefix="1" applyNumberFormat="1" applyFont="1" applyFill="1" applyBorder="1" applyAlignment="1">
      <alignment horizontal="center" vertical="center" wrapText="1"/>
    </xf>
    <xf numFmtId="4" fontId="8" fillId="0" borderId="9" xfId="0" applyNumberFormat="1" applyFont="1" applyBorder="1" applyAlignment="1">
      <alignment horizontal="center" wrapText="1"/>
    </xf>
    <xf numFmtId="170" fontId="0" fillId="0" borderId="0" xfId="1" applyNumberFormat="1" applyFont="1"/>
    <xf numFmtId="170" fontId="8" fillId="0" borderId="9" xfId="1" applyNumberFormat="1" applyFont="1" applyBorder="1" applyAlignment="1">
      <alignment horizontal="center" wrapText="1"/>
    </xf>
    <xf numFmtId="37" fontId="6" fillId="0" borderId="1" xfId="482" applyNumberFormat="1" applyFont="1" applyFill="1" applyBorder="1" applyAlignment="1">
      <alignment horizontal="center"/>
    </xf>
    <xf numFmtId="181" fontId="6" fillId="0" borderId="1" xfId="2" applyNumberFormat="1" applyFont="1" applyFill="1" applyBorder="1" applyAlignment="1">
      <alignment horizontal="center"/>
    </xf>
    <xf numFmtId="1" fontId="44" fillId="63" borderId="5" xfId="0" applyNumberFormat="1" applyFont="1" applyFill="1" applyBorder="1" applyAlignment="1">
      <alignment horizontal="center" vertical="center" wrapText="1"/>
    </xf>
    <xf numFmtId="12" fontId="0" fillId="0" borderId="0" xfId="0" applyNumberFormat="1"/>
    <xf numFmtId="12" fontId="8" fillId="0" borderId="1" xfId="0" applyNumberFormat="1" applyFont="1" applyBorder="1" applyAlignment="1">
      <alignment wrapText="1"/>
    </xf>
    <xf numFmtId="12" fontId="7" fillId="0" borderId="1" xfId="0" applyNumberFormat="1" applyFont="1" applyBorder="1"/>
    <xf numFmtId="12" fontId="7" fillId="0" borderId="0" xfId="0" applyNumberFormat="1" applyFont="1"/>
    <xf numFmtId="9" fontId="0" fillId="0" borderId="0" xfId="2" applyFont="1" applyAlignment="1">
      <alignment horizontal="center"/>
    </xf>
    <xf numFmtId="3" fontId="6" fillId="0" borderId="0" xfId="0" applyNumberFormat="1" applyFont="1" applyAlignment="1">
      <alignment horizontal="center"/>
    </xf>
    <xf numFmtId="10" fontId="0" fillId="3" borderId="0" xfId="0" applyNumberFormat="1" applyFill="1" applyAlignment="1">
      <alignment horizontal="center"/>
    </xf>
    <xf numFmtId="0" fontId="8" fillId="4" borderId="9" xfId="0" applyFont="1" applyFill="1" applyBorder="1" applyAlignment="1">
      <alignment horizontal="center" wrapText="1"/>
    </xf>
    <xf numFmtId="12" fontId="6" fillId="0" borderId="10" xfId="482" applyNumberFormat="1" applyFont="1" applyFill="1" applyBorder="1" applyAlignment="1">
      <alignment horizontal="center" vertical="center"/>
    </xf>
    <xf numFmtId="164" fontId="0" fillId="0" borderId="0" xfId="2" applyNumberFormat="1" applyFont="1"/>
    <xf numFmtId="43" fontId="0" fillId="0" borderId="0" xfId="1" applyFont="1"/>
    <xf numFmtId="43" fontId="0" fillId="0" borderId="2" xfId="1" applyFont="1" applyBorder="1"/>
    <xf numFmtId="2" fontId="6" fillId="0" borderId="0" xfId="0" applyNumberFormat="1" applyFont="1"/>
    <xf numFmtId="43" fontId="0" fillId="0" borderId="30" xfId="1" applyFont="1" applyBorder="1"/>
    <xf numFmtId="43" fontId="0" fillId="0" borderId="0" xfId="0" applyNumberFormat="1"/>
    <xf numFmtId="43" fontId="6" fillId="0" borderId="0" xfId="0" applyNumberFormat="1" applyFont="1"/>
    <xf numFmtId="43" fontId="0" fillId="0" borderId="0" xfId="1" applyFont="1" applyFill="1" applyBorder="1"/>
    <xf numFmtId="182" fontId="0" fillId="0" borderId="0" xfId="0" applyNumberFormat="1"/>
    <xf numFmtId="43" fontId="6" fillId="0" borderId="0" xfId="1" applyFont="1" applyFill="1" applyAlignment="1">
      <alignment horizontal="center"/>
    </xf>
    <xf numFmtId="181" fontId="9" fillId="0" borderId="1" xfId="2" applyNumberFormat="1" applyFont="1" applyFill="1" applyBorder="1" applyAlignment="1">
      <alignment horizontal="center"/>
    </xf>
    <xf numFmtId="181" fontId="9" fillId="64" borderId="1" xfId="2" applyNumberFormat="1" applyFont="1" applyFill="1" applyBorder="1" applyAlignment="1">
      <alignment horizontal="center"/>
    </xf>
    <xf numFmtId="171" fontId="0" fillId="0" borderId="0" xfId="1" applyNumberFormat="1" applyFont="1"/>
    <xf numFmtId="4" fontId="9" fillId="64" borderId="1" xfId="0" applyNumberFormat="1" applyFont="1" applyFill="1" applyBorder="1" applyAlignment="1">
      <alignment horizontal="center"/>
    </xf>
    <xf numFmtId="12" fontId="9" fillId="65" borderId="10" xfId="482" applyNumberFormat="1" applyFont="1" applyFill="1" applyBorder="1" applyAlignment="1">
      <alignment horizontal="center" vertical="center"/>
    </xf>
    <xf numFmtId="9" fontId="6" fillId="0" borderId="1" xfId="2" applyFont="1" applyBorder="1" applyAlignment="1" applyProtection="1">
      <alignment horizontal="center"/>
      <protection locked="0"/>
    </xf>
    <xf numFmtId="43" fontId="6" fillId="0" borderId="1" xfId="1" applyFont="1" applyBorder="1" applyAlignment="1" applyProtection="1">
      <alignment horizontal="center"/>
      <protection locked="0"/>
    </xf>
    <xf numFmtId="170" fontId="6" fillId="0" borderId="1" xfId="1" applyNumberFormat="1" applyFont="1" applyBorder="1" applyAlignment="1" applyProtection="1">
      <alignment horizontal="center"/>
      <protection locked="0"/>
    </xf>
    <xf numFmtId="1" fontId="6" fillId="0" borderId="1" xfId="0" applyNumberFormat="1" applyFont="1" applyBorder="1" applyAlignment="1" applyProtection="1">
      <alignment horizontal="left"/>
      <protection locked="0"/>
    </xf>
    <xf numFmtId="43" fontId="6" fillId="0" borderId="1" xfId="1" applyFont="1" applyBorder="1" applyAlignment="1" applyProtection="1">
      <alignment horizontal="left"/>
      <protection locked="0"/>
    </xf>
    <xf numFmtId="170" fontId="6" fillId="0" borderId="1" xfId="1" applyNumberFormat="1" applyFont="1" applyBorder="1" applyAlignment="1" applyProtection="1">
      <alignment horizontal="left"/>
      <protection locked="0"/>
    </xf>
    <xf numFmtId="3" fontId="6" fillId="66" borderId="1" xfId="482" applyNumberFormat="1" applyFont="1" applyFill="1" applyBorder="1" applyAlignment="1">
      <alignment horizontal="center"/>
    </xf>
    <xf numFmtId="10" fontId="6" fillId="0" borderId="1" xfId="2" applyNumberFormat="1" applyFont="1" applyFill="1" applyBorder="1" applyAlignment="1">
      <alignment horizontal="center"/>
    </xf>
    <xf numFmtId="10" fontId="9" fillId="64" borderId="1" xfId="2" applyNumberFormat="1" applyFont="1" applyFill="1" applyBorder="1" applyAlignment="1">
      <alignment horizontal="center"/>
    </xf>
    <xf numFmtId="1" fontId="9" fillId="0" borderId="1" xfId="0" applyNumberFormat="1" applyFont="1" applyBorder="1" applyAlignment="1" applyProtection="1">
      <alignment horizontal="center"/>
      <protection locked="0"/>
    </xf>
    <xf numFmtId="3" fontId="9" fillId="0" borderId="10" xfId="482" applyNumberFormat="1" applyFont="1" applyFill="1" applyBorder="1" applyAlignment="1">
      <alignment horizontal="center" vertical="center"/>
    </xf>
    <xf numFmtId="0" fontId="6" fillId="0" borderId="1" xfId="0" applyFont="1" applyBorder="1"/>
    <xf numFmtId="0" fontId="0" fillId="0" borderId="1" xfId="0" applyBorder="1"/>
    <xf numFmtId="0" fontId="6" fillId="67" borderId="1" xfId="0" applyFont="1" applyFill="1" applyBorder="1"/>
    <xf numFmtId="0" fontId="0" fillId="67" borderId="1" xfId="0" applyFill="1" applyBorder="1"/>
    <xf numFmtId="3" fontId="0" fillId="67" borderId="1" xfId="0" applyNumberFormat="1" applyFill="1" applyBorder="1" applyAlignment="1">
      <alignment horizontal="center"/>
    </xf>
    <xf numFmtId="37" fontId="6" fillId="67" borderId="1" xfId="482" applyNumberFormat="1" applyFont="1" applyFill="1" applyBorder="1" applyAlignment="1">
      <alignment horizontal="center"/>
    </xf>
    <xf numFmtId="181" fontId="6" fillId="67" borderId="1" xfId="2" applyNumberFormat="1" applyFont="1" applyFill="1" applyBorder="1" applyAlignment="1">
      <alignment horizontal="center"/>
    </xf>
    <xf numFmtId="0" fontId="9" fillId="0" borderId="1" xfId="0" applyFont="1" applyBorder="1"/>
    <xf numFmtId="0" fontId="9" fillId="67" borderId="8" xfId="0" applyFont="1" applyFill="1" applyBorder="1"/>
    <xf numFmtId="0" fontId="0" fillId="67" borderId="10" xfId="0" applyFill="1" applyBorder="1"/>
    <xf numFmtId="0" fontId="9" fillId="0" borderId="8" xfId="0" applyFont="1" applyBorder="1"/>
    <xf numFmtId="0" fontId="0" fillId="0" borderId="9" xfId="0" applyBorder="1"/>
    <xf numFmtId="0" fontId="0" fillId="0" borderId="10" xfId="0" applyBorder="1"/>
    <xf numFmtId="0" fontId="0" fillId="67" borderId="9" xfId="0" applyFill="1" applyBorder="1"/>
    <xf numFmtId="3" fontId="6" fillId="0" borderId="1" xfId="0" applyNumberFormat="1" applyFont="1" applyBorder="1"/>
    <xf numFmtId="0" fontId="44" fillId="63" borderId="31" xfId="0" applyFont="1" applyFill="1" applyBorder="1" applyAlignment="1">
      <alignment horizontal="center" wrapText="1"/>
    </xf>
    <xf numFmtId="0" fontId="0" fillId="68" borderId="0" xfId="0" applyFill="1"/>
    <xf numFmtId="0" fontId="6" fillId="0" borderId="1" xfId="0" applyFont="1" applyBorder="1" applyAlignment="1">
      <alignment horizontal="center"/>
    </xf>
    <xf numFmtId="0" fontId="9" fillId="0" borderId="0" xfId="0" applyFont="1" applyAlignment="1">
      <alignment horizontal="right"/>
    </xf>
    <xf numFmtId="167" fontId="9" fillId="0" borderId="0" xfId="0" applyNumberFormat="1" applyFont="1"/>
    <xf numFmtId="37" fontId="6" fillId="40" borderId="1" xfId="482" applyNumberFormat="1" applyFont="1" applyFill="1" applyBorder="1" applyAlignment="1">
      <alignment horizontal="center"/>
    </xf>
    <xf numFmtId="0" fontId="76" fillId="0" borderId="0" xfId="0" applyFont="1"/>
    <xf numFmtId="0" fontId="77" fillId="0" borderId="0" xfId="0" applyFont="1"/>
    <xf numFmtId="43" fontId="77" fillId="0" borderId="0" xfId="0" applyNumberFormat="1" applyFont="1"/>
    <xf numFmtId="43" fontId="77" fillId="0" borderId="0" xfId="1" applyFont="1"/>
    <xf numFmtId="43" fontId="77" fillId="0" borderId="30" xfId="1" applyFont="1" applyBorder="1"/>
    <xf numFmtId="43" fontId="9" fillId="0" borderId="0" xfId="0" applyNumberFormat="1" applyFont="1"/>
    <xf numFmtId="43" fontId="9" fillId="0" borderId="0" xfId="1" applyFont="1"/>
    <xf numFmtId="170" fontId="0" fillId="0" borderId="1" xfId="0" applyNumberFormat="1" applyBorder="1"/>
    <xf numFmtId="9" fontId="0" fillId="0" borderId="1" xfId="2" applyFont="1" applyBorder="1"/>
    <xf numFmtId="170" fontId="6" fillId="0" borderId="1" xfId="1" applyNumberFormat="1" applyFont="1" applyBorder="1"/>
    <xf numFmtId="0" fontId="0" fillId="0" borderId="34" xfId="0" applyBorder="1" applyAlignment="1">
      <alignment horizontal="center"/>
    </xf>
    <xf numFmtId="171" fontId="0" fillId="0" borderId="34" xfId="1" applyNumberFormat="1" applyFont="1" applyBorder="1"/>
    <xf numFmtId="165" fontId="0" fillId="0" borderId="34" xfId="0" applyNumberFormat="1" applyBorder="1"/>
    <xf numFmtId="181" fontId="6" fillId="0" borderId="34" xfId="2" applyNumberFormat="1" applyFont="1" applyFill="1" applyBorder="1" applyAlignment="1">
      <alignment horizontal="center"/>
    </xf>
    <xf numFmtId="167" fontId="0" fillId="0" borderId="34" xfId="0" applyNumberFormat="1" applyBorder="1"/>
    <xf numFmtId="0" fontId="0" fillId="0" borderId="34" xfId="0" applyBorder="1"/>
    <xf numFmtId="0" fontId="6" fillId="0" borderId="34" xfId="0" applyFont="1" applyBorder="1" applyAlignment="1">
      <alignment horizontal="center"/>
    </xf>
    <xf numFmtId="0" fontId="44" fillId="63" borderId="34" xfId="0" applyFont="1" applyFill="1" applyBorder="1" applyAlignment="1">
      <alignment horizontal="center" wrapText="1"/>
    </xf>
    <xf numFmtId="9" fontId="0" fillId="0" borderId="34" xfId="0" applyNumberFormat="1" applyBorder="1"/>
    <xf numFmtId="43" fontId="0" fillId="0" borderId="34" xfId="1" applyFont="1" applyBorder="1"/>
    <xf numFmtId="43" fontId="0" fillId="0" borderId="34" xfId="0" applyNumberFormat="1" applyBorder="1"/>
    <xf numFmtId="183" fontId="9" fillId="0" borderId="0" xfId="0" applyNumberFormat="1" applyFont="1"/>
    <xf numFmtId="16" fontId="6" fillId="0" borderId="0" xfId="0" quotePrefix="1" applyNumberFormat="1" applyFont="1" applyAlignment="1" applyProtection="1">
      <alignment horizontal="center"/>
      <protection locked="0"/>
    </xf>
    <xf numFmtId="0" fontId="9" fillId="64" borderId="8" xfId="0" applyFont="1" applyFill="1" applyBorder="1"/>
    <xf numFmtId="0" fontId="0" fillId="64" borderId="1" xfId="0" applyFill="1" applyBorder="1"/>
    <xf numFmtId="3" fontId="0" fillId="64" borderId="1" xfId="0" applyNumberFormat="1" applyFill="1" applyBorder="1" applyAlignment="1">
      <alignment horizontal="center"/>
    </xf>
    <xf numFmtId="37" fontId="6" fillId="64" borderId="1" xfId="482" applyNumberFormat="1" applyFont="1" applyFill="1" applyBorder="1" applyAlignment="1">
      <alignment horizontal="center"/>
    </xf>
    <xf numFmtId="181" fontId="6" fillId="64" borderId="1" xfId="2" applyNumberFormat="1" applyFont="1" applyFill="1" applyBorder="1" applyAlignment="1">
      <alignment horizontal="center"/>
    </xf>
    <xf numFmtId="0" fontId="0" fillId="64" borderId="10" xfId="0" applyFill="1" applyBorder="1"/>
    <xf numFmtId="0" fontId="0" fillId="64" borderId="9" xfId="0" applyFill="1" applyBorder="1"/>
    <xf numFmtId="16" fontId="0" fillId="0" borderId="0" xfId="0" applyNumberFormat="1"/>
    <xf numFmtId="1" fontId="44" fillId="63" borderId="34" xfId="0" quotePrefix="1" applyNumberFormat="1" applyFont="1" applyFill="1" applyBorder="1" applyAlignment="1">
      <alignment horizontal="center" vertical="center" wrapText="1"/>
    </xf>
    <xf numFmtId="170" fontId="0" fillId="0" borderId="34" xfId="1" applyNumberFormat="1" applyFont="1" applyBorder="1"/>
    <xf numFmtId="9" fontId="0" fillId="0" borderId="34" xfId="2" applyFont="1" applyBorder="1"/>
    <xf numFmtId="170" fontId="0" fillId="0" borderId="34" xfId="0" applyNumberFormat="1" applyBorder="1"/>
    <xf numFmtId="0" fontId="9" fillId="0" borderId="34" xfId="0" applyFont="1" applyBorder="1"/>
    <xf numFmtId="3" fontId="9" fillId="0" borderId="34" xfId="0" applyNumberFormat="1" applyFont="1" applyBorder="1"/>
    <xf numFmtId="9" fontId="9" fillId="0" borderId="34" xfId="2" applyFont="1" applyBorder="1"/>
    <xf numFmtId="10" fontId="0" fillId="0" borderId="0" xfId="2" applyNumberFormat="1" applyFont="1"/>
    <xf numFmtId="17" fontId="0" fillId="69" borderId="0" xfId="0" applyNumberFormat="1" applyFill="1"/>
    <xf numFmtId="1" fontId="0" fillId="69" borderId="0" xfId="0" applyNumberFormat="1" applyFill="1"/>
    <xf numFmtId="17" fontId="0" fillId="69" borderId="1" xfId="0" applyNumberFormat="1" applyFill="1" applyBorder="1" applyAlignment="1">
      <alignment horizontal="left"/>
    </xf>
    <xf numFmtId="37" fontId="7" fillId="69" borderId="1" xfId="0" applyNumberFormat="1" applyFont="1" applyFill="1" applyBorder="1" applyAlignment="1">
      <alignment horizontal="center"/>
    </xf>
    <xf numFmtId="0" fontId="0" fillId="69" borderId="1" xfId="0" applyFill="1" applyBorder="1" applyAlignment="1">
      <alignment horizontal="center"/>
    </xf>
    <xf numFmtId="177" fontId="7" fillId="69" borderId="1" xfId="0" applyNumberFormat="1" applyFont="1" applyFill="1" applyBorder="1" applyAlignment="1">
      <alignment horizontal="center"/>
    </xf>
    <xf numFmtId="165" fontId="0" fillId="69" borderId="1" xfId="0" applyNumberFormat="1" applyFill="1" applyBorder="1" applyAlignment="1">
      <alignment horizontal="center"/>
    </xf>
    <xf numFmtId="170" fontId="0" fillId="69" borderId="0" xfId="1" applyNumberFormat="1" applyFont="1" applyFill="1"/>
    <xf numFmtId="0" fontId="0" fillId="69" borderId="0" xfId="0" applyFill="1"/>
    <xf numFmtId="3" fontId="0" fillId="0" borderId="34" xfId="0" applyNumberFormat="1" applyBorder="1"/>
    <xf numFmtId="164" fontId="0" fillId="0" borderId="34" xfId="2" applyNumberFormat="1" applyFont="1" applyBorder="1"/>
    <xf numFmtId="170" fontId="0" fillId="0" borderId="0" xfId="1" applyNumberFormat="1" applyFont="1" applyFill="1"/>
    <xf numFmtId="17" fontId="6" fillId="69" borderId="0" xfId="0" applyNumberFormat="1" applyFont="1" applyFill="1"/>
    <xf numFmtId="170" fontId="6" fillId="69" borderId="0" xfId="1" applyNumberFormat="1" applyFont="1" applyFill="1"/>
    <xf numFmtId="3" fontId="0" fillId="69" borderId="0" xfId="0" applyNumberFormat="1" applyFill="1" applyAlignment="1">
      <alignment horizontal="center"/>
    </xf>
    <xf numFmtId="0" fontId="6" fillId="69" borderId="0" xfId="0" applyFont="1" applyFill="1"/>
    <xf numFmtId="168" fontId="0" fillId="69" borderId="0" xfId="0" applyNumberFormat="1" applyFill="1" applyAlignment="1">
      <alignment horizontal="center"/>
    </xf>
    <xf numFmtId="17" fontId="8" fillId="69" borderId="0" xfId="0" applyNumberFormat="1" applyFont="1" applyFill="1" applyAlignment="1">
      <alignment wrapText="1"/>
    </xf>
    <xf numFmtId="3" fontId="8" fillId="69" borderId="0" xfId="0" applyNumberFormat="1" applyFont="1" applyFill="1" applyAlignment="1">
      <alignment wrapText="1"/>
    </xf>
    <xf numFmtId="0" fontId="9" fillId="70" borderId="0" xfId="0" applyFont="1" applyFill="1"/>
    <xf numFmtId="0" fontId="0" fillId="70" borderId="0" xfId="0" applyFill="1" applyAlignment="1">
      <alignment horizontal="center"/>
    </xf>
    <xf numFmtId="3" fontId="0" fillId="70" borderId="0" xfId="0" applyNumberFormat="1" applyFill="1" applyAlignment="1">
      <alignment horizontal="center"/>
    </xf>
    <xf numFmtId="0" fontId="0" fillId="70" borderId="0" xfId="0" applyFill="1"/>
    <xf numFmtId="0" fontId="6" fillId="70" borderId="0" xfId="0" applyFont="1" applyFill="1"/>
    <xf numFmtId="3" fontId="0" fillId="69" borderId="1" xfId="0" applyNumberFormat="1" applyFill="1" applyBorder="1" applyAlignment="1">
      <alignment horizontal="center"/>
    </xf>
    <xf numFmtId="0" fontId="8" fillId="0" borderId="0" xfId="0" applyFont="1" applyAlignment="1">
      <alignment horizontal="center" wrapText="1"/>
    </xf>
    <xf numFmtId="37" fontId="0" fillId="69" borderId="0" xfId="0" applyNumberFormat="1" applyFill="1" applyAlignment="1">
      <alignment horizontal="center"/>
    </xf>
    <xf numFmtId="164" fontId="0" fillId="69" borderId="0" xfId="2" applyNumberFormat="1" applyFont="1" applyFill="1" applyAlignment="1">
      <alignment horizontal="center"/>
    </xf>
    <xf numFmtId="164" fontId="7" fillId="69" borderId="0" xfId="0" applyNumberFormat="1" applyFont="1" applyFill="1" applyAlignment="1">
      <alignment horizontal="center"/>
    </xf>
    <xf numFmtId="169" fontId="0" fillId="69" borderId="0" xfId="2" applyNumberFormat="1" applyFont="1" applyFill="1" applyAlignment="1">
      <alignment horizontal="center"/>
    </xf>
    <xf numFmtId="169" fontId="0" fillId="69" borderId="0" xfId="0" applyNumberFormat="1" applyFill="1" applyAlignment="1">
      <alignment horizontal="center"/>
    </xf>
    <xf numFmtId="3" fontId="11" fillId="70" borderId="0" xfId="0" applyNumberFormat="1" applyFont="1" applyFill="1"/>
    <xf numFmtId="3" fontId="11" fillId="70" borderId="0" xfId="0" applyNumberFormat="1" applyFont="1" applyFill="1" applyAlignment="1">
      <alignment horizontal="center" vertical="top"/>
    </xf>
    <xf numFmtId="164" fontId="11" fillId="70" borderId="0" xfId="2" applyNumberFormat="1" applyFont="1" applyFill="1" applyAlignment="1">
      <alignment horizontal="center" vertical="top"/>
    </xf>
    <xf numFmtId="168" fontId="11" fillId="70" borderId="0" xfId="0" applyNumberFormat="1" applyFont="1" applyFill="1" applyAlignment="1">
      <alignment horizontal="center" vertical="top"/>
    </xf>
    <xf numFmtId="0" fontId="11" fillId="0" borderId="0" xfId="0" applyFont="1"/>
    <xf numFmtId="0" fontId="11" fillId="70" borderId="0" xfId="0" applyFont="1" applyFill="1"/>
    <xf numFmtId="0" fontId="11" fillId="70" borderId="0" xfId="0" applyFont="1" applyFill="1" applyAlignment="1">
      <alignment horizontal="center"/>
    </xf>
    <xf numFmtId="3" fontId="11" fillId="70" borderId="0" xfId="0" applyNumberFormat="1" applyFont="1" applyFill="1" applyAlignment="1">
      <alignment horizontal="center"/>
    </xf>
    <xf numFmtId="169" fontId="0" fillId="70" borderId="0" xfId="2" applyNumberFormat="1" applyFont="1" applyFill="1" applyAlignment="1">
      <alignment horizontal="center"/>
    </xf>
    <xf numFmtId="17" fontId="9" fillId="70" borderId="0" xfId="0" applyNumberFormat="1" applyFont="1" applyFill="1"/>
    <xf numFmtId="9" fontId="0" fillId="70" borderId="0" xfId="0" applyNumberFormat="1" applyFill="1" applyAlignment="1">
      <alignment horizontal="center"/>
    </xf>
    <xf numFmtId="9" fontId="6" fillId="70" borderId="0" xfId="0" applyNumberFormat="1" applyFont="1" applyFill="1" applyAlignment="1">
      <alignment horizontal="center"/>
    </xf>
    <xf numFmtId="10" fontId="0" fillId="70" borderId="0" xfId="0" applyNumberFormat="1" applyFill="1" applyAlignment="1">
      <alignment horizontal="center"/>
    </xf>
    <xf numFmtId="169" fontId="0" fillId="70" borderId="0" xfId="1" applyNumberFormat="1" applyFont="1" applyFill="1" applyAlignment="1">
      <alignment horizontal="center"/>
    </xf>
    <xf numFmtId="170" fontId="0" fillId="70" borderId="0" xfId="1" applyNumberFormat="1" applyFont="1" applyFill="1" applyAlignment="1">
      <alignment horizontal="center"/>
    </xf>
    <xf numFmtId="4" fontId="8" fillId="68" borderId="9" xfId="0" applyNumberFormat="1" applyFont="1" applyFill="1" applyBorder="1" applyAlignment="1">
      <alignment horizontal="center" wrapText="1"/>
    </xf>
    <xf numFmtId="170" fontId="0" fillId="68" borderId="0" xfId="1" applyNumberFormat="1" applyFont="1" applyFill="1"/>
    <xf numFmtId="3" fontId="6" fillId="0" borderId="0" xfId="0" applyNumberFormat="1" applyFont="1" applyAlignment="1">
      <alignment horizontal="left"/>
    </xf>
    <xf numFmtId="37" fontId="7" fillId="71" borderId="1" xfId="0" applyNumberFormat="1" applyFont="1" applyFill="1" applyBorder="1" applyAlignment="1">
      <alignment horizontal="center"/>
    </xf>
    <xf numFmtId="0" fontId="0" fillId="39" borderId="0" xfId="0" applyFill="1" applyAlignment="1">
      <alignment horizontal="center"/>
    </xf>
    <xf numFmtId="3" fontId="6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1" fontId="44" fillId="63" borderId="32" xfId="0" quotePrefix="1" applyNumberFormat="1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44" fillId="63" borderId="31" xfId="0" applyFont="1" applyFill="1" applyBorder="1" applyAlignment="1">
      <alignment horizontal="center" wrapText="1"/>
    </xf>
    <xf numFmtId="1" fontId="44" fillId="63" borderId="6" xfId="0" quotePrefix="1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7" xfId="0" applyBorder="1" applyAlignment="1">
      <alignment horizontal="center" vertical="center" wrapText="1"/>
    </xf>
    <xf numFmtId="1" fontId="44" fillId="63" borderId="8" xfId="0" quotePrefix="1" applyNumberFormat="1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</cellXfs>
  <cellStyles count="1524">
    <cellStyle name="$" xfId="14" xr:uid="{00000000-0005-0000-0000-000000000000}"/>
    <cellStyle name="$.00" xfId="15" xr:uid="{00000000-0005-0000-0000-000001000000}"/>
    <cellStyle name="$_9. Rev2Cost_GDPIPI" xfId="16" xr:uid="{00000000-0005-0000-0000-000002000000}"/>
    <cellStyle name="$_lists" xfId="17" xr:uid="{00000000-0005-0000-0000-000003000000}"/>
    <cellStyle name="$_lists_4. Current Monthly Fixed Charge" xfId="18" xr:uid="{00000000-0005-0000-0000-000004000000}"/>
    <cellStyle name="$_Sheet4" xfId="19" xr:uid="{00000000-0005-0000-0000-000005000000}"/>
    <cellStyle name="$M" xfId="20" xr:uid="{00000000-0005-0000-0000-000006000000}"/>
    <cellStyle name="$M.00" xfId="21" xr:uid="{00000000-0005-0000-0000-000007000000}"/>
    <cellStyle name="$M_9. Rev2Cost_GDPIPI" xfId="22" xr:uid="{00000000-0005-0000-0000-000008000000}"/>
    <cellStyle name="20% - Accent1 10" xfId="104" xr:uid="{3FA1FFCA-BE3F-41A7-8993-95B3F773BA7C}"/>
    <cellStyle name="20% - Accent1 11" xfId="105" xr:uid="{5649297F-154B-4C02-A181-973285B19D7D}"/>
    <cellStyle name="20% - Accent1 12" xfId="106" xr:uid="{E383FC1D-9847-4DFF-966B-4A3C321502F6}"/>
    <cellStyle name="20% - Accent1 13" xfId="107" xr:uid="{1217E4AB-7DED-403D-A5CC-F233870FFAD1}"/>
    <cellStyle name="20% - Accent1 14" xfId="108" xr:uid="{94913466-AC2B-4CA2-A0C2-791B5ABBC469}"/>
    <cellStyle name="20% - Accent1 15" xfId="109" xr:uid="{8AB6D119-F782-40E6-9646-B552CB37096B}"/>
    <cellStyle name="20% - Accent1 16" xfId="769" xr:uid="{45FBF829-0047-4ADB-BC05-C028DF6644DA}"/>
    <cellStyle name="20% - Accent1 2" xfId="23" xr:uid="{00000000-0005-0000-0000-000009000000}"/>
    <cellStyle name="20% - Accent1 2 2" xfId="815" xr:uid="{1EAF84D8-4755-4733-849D-1BFF4F73BD94}"/>
    <cellStyle name="20% - Accent1 2 3" xfId="110" xr:uid="{4A647E3F-96F3-4D22-89D1-F5D064BBDC62}"/>
    <cellStyle name="20% - Accent1 3" xfId="111" xr:uid="{BBBC7D0B-BD48-4D03-AA8A-2C01413CC7B2}"/>
    <cellStyle name="20% - Accent1 4" xfId="112" xr:uid="{967EE2E3-4945-4801-8E05-BC4B5DE50086}"/>
    <cellStyle name="20% - Accent1 5" xfId="113" xr:uid="{7E251424-5435-4D56-B08E-62A05FE87F7E}"/>
    <cellStyle name="20% - Accent1 6" xfId="114" xr:uid="{376DAE87-F0AA-4C7C-9983-5B8780A7A441}"/>
    <cellStyle name="20% - Accent1 7" xfId="115" xr:uid="{443E02D2-0543-42C4-875F-F2E9B3167F6C}"/>
    <cellStyle name="20% - Accent1 8" xfId="116" xr:uid="{E2A56F3A-271E-4A07-8608-251A3D42C601}"/>
    <cellStyle name="20% - Accent1 9" xfId="117" xr:uid="{2CB79A3F-4E62-4EAE-9F90-44BF93F1D182}"/>
    <cellStyle name="20% - Accent2 10" xfId="118" xr:uid="{6C190751-8BFA-4BAD-AFD5-DC099043E3FC}"/>
    <cellStyle name="20% - Accent2 11" xfId="119" xr:uid="{A10CC3DB-1218-4CDC-9E9D-72567D40C1B9}"/>
    <cellStyle name="20% - Accent2 12" xfId="120" xr:uid="{1EB12AEB-951A-4D60-87C9-8A7E59E24A01}"/>
    <cellStyle name="20% - Accent2 13" xfId="121" xr:uid="{473F8E8B-6183-4F6C-B892-4BD1091F10E0}"/>
    <cellStyle name="20% - Accent2 14" xfId="122" xr:uid="{13696E75-2D2C-4621-955F-23F7900D4AAA}"/>
    <cellStyle name="20% - Accent2 15" xfId="123" xr:uid="{F0E2D41A-B837-46EC-BBEA-2CAE487D301E}"/>
    <cellStyle name="20% - Accent2 16" xfId="770" xr:uid="{D6013404-A408-4AAB-80F1-09258BC9B437}"/>
    <cellStyle name="20% - Accent2 2" xfId="24" xr:uid="{00000000-0005-0000-0000-00000A000000}"/>
    <cellStyle name="20% - Accent2 2 2" xfId="819" xr:uid="{88E9716D-ED26-4B0C-B13D-E8B8E843EB65}"/>
    <cellStyle name="20% - Accent2 2 3" xfId="124" xr:uid="{9A2CCDBD-6CEB-439D-8ED1-7C033D7D4909}"/>
    <cellStyle name="20% - Accent2 3" xfId="125" xr:uid="{55000463-8A6F-4E5F-895F-1D6836E3F798}"/>
    <cellStyle name="20% - Accent2 4" xfId="126" xr:uid="{AF859086-CC51-40A1-9C3C-6366AA79F1FF}"/>
    <cellStyle name="20% - Accent2 5" xfId="127" xr:uid="{832429B3-E619-4DDA-B4A3-64363250CB45}"/>
    <cellStyle name="20% - Accent2 6" xfId="128" xr:uid="{B89B8E96-1DD4-4C95-A573-00A44AE3E0E0}"/>
    <cellStyle name="20% - Accent2 7" xfId="129" xr:uid="{7EE69995-BB3B-41D4-8136-EBAEC511BB7C}"/>
    <cellStyle name="20% - Accent2 8" xfId="130" xr:uid="{2725C661-C278-4344-B0A1-619B40DB1CEF}"/>
    <cellStyle name="20% - Accent2 9" xfId="131" xr:uid="{48AAB1AD-A964-4460-92AD-A040CBF8F10D}"/>
    <cellStyle name="20% - Accent3 10" xfId="132" xr:uid="{7ACE94B7-11FE-4305-941E-C0B5D6C40E5D}"/>
    <cellStyle name="20% - Accent3 11" xfId="133" xr:uid="{238C467B-9463-4905-866D-FE45FF0EE60B}"/>
    <cellStyle name="20% - Accent3 12" xfId="134" xr:uid="{442C9A86-B726-436B-A8EE-CBE9AFDBF4D7}"/>
    <cellStyle name="20% - Accent3 13" xfId="135" xr:uid="{2CD00547-C846-4ECE-B078-3A0B79C7A7F7}"/>
    <cellStyle name="20% - Accent3 14" xfId="136" xr:uid="{223898B6-3510-4569-AEE2-C0DBD9EC9E21}"/>
    <cellStyle name="20% - Accent3 15" xfId="137" xr:uid="{ECFD3754-2839-443F-93D6-2988AB81F926}"/>
    <cellStyle name="20% - Accent3 16" xfId="771" xr:uid="{12D4EFAA-CEF6-43E3-AECD-3B0EF030DC19}"/>
    <cellStyle name="20% - Accent3 2" xfId="25" xr:uid="{00000000-0005-0000-0000-00000B000000}"/>
    <cellStyle name="20% - Accent3 2 2" xfId="823" xr:uid="{BC8980A8-10CB-4C9B-80DC-B668AC15844F}"/>
    <cellStyle name="20% - Accent3 2 3" xfId="138" xr:uid="{0A9F25B4-70CA-4082-AB6C-473346FA893F}"/>
    <cellStyle name="20% - Accent3 3" xfId="139" xr:uid="{FC3BB4A7-30D5-4C60-A940-C9F97270670D}"/>
    <cellStyle name="20% - Accent3 4" xfId="140" xr:uid="{9BFF5A1D-111E-40A5-846A-74F9CC4C6F78}"/>
    <cellStyle name="20% - Accent3 5" xfId="141" xr:uid="{6ED29ED2-D5FA-4F82-8DDE-AC56B37D1B7B}"/>
    <cellStyle name="20% - Accent3 6" xfId="142" xr:uid="{2EE88B77-B4ED-4224-8F5A-1F5F717E398A}"/>
    <cellStyle name="20% - Accent3 7" xfId="143" xr:uid="{7FE3F72A-B20C-4FA5-8174-BF46E31A47FA}"/>
    <cellStyle name="20% - Accent3 8" xfId="144" xr:uid="{26BDBDB6-96C4-4DE8-8498-1D3EDB6B5361}"/>
    <cellStyle name="20% - Accent3 9" xfId="145" xr:uid="{58ACF6E2-883C-4F05-A549-358FF04DE678}"/>
    <cellStyle name="20% - Accent4 10" xfId="146" xr:uid="{91A615A8-05D8-4E89-9B9D-40BB1EBF12DF}"/>
    <cellStyle name="20% - Accent4 11" xfId="147" xr:uid="{4BF0B27D-D287-4453-B607-E298CBF863AC}"/>
    <cellStyle name="20% - Accent4 12" xfId="148" xr:uid="{7B996A7E-4836-4E27-8B5A-D813B5202EE1}"/>
    <cellStyle name="20% - Accent4 13" xfId="149" xr:uid="{37B53B62-2DCD-4744-95D8-F12FA4004CB2}"/>
    <cellStyle name="20% - Accent4 14" xfId="150" xr:uid="{E09126FA-9152-4B23-9983-B1F228217BF6}"/>
    <cellStyle name="20% - Accent4 15" xfId="151" xr:uid="{2FAAE852-EEC6-4346-A0B9-174305E14DEC}"/>
    <cellStyle name="20% - Accent4 16" xfId="772" xr:uid="{85D136F8-EEB5-44EA-BB38-A6FEF4273F13}"/>
    <cellStyle name="20% - Accent4 2" xfId="26" xr:uid="{00000000-0005-0000-0000-00000C000000}"/>
    <cellStyle name="20% - Accent4 2 2" xfId="827" xr:uid="{D06E2F48-0918-4986-B898-28978AD07AFD}"/>
    <cellStyle name="20% - Accent4 2 3" xfId="152" xr:uid="{628FC5C7-725D-4262-97F4-6C2D4880CC12}"/>
    <cellStyle name="20% - Accent4 3" xfId="153" xr:uid="{67E18104-DDA9-43A1-8F21-8E27D7C24A4F}"/>
    <cellStyle name="20% - Accent4 4" xfId="154" xr:uid="{53918B96-84C3-4AA2-ABA4-AFB5DA482B70}"/>
    <cellStyle name="20% - Accent4 5" xfId="155" xr:uid="{03FA5905-9E5F-405E-AEB8-80E98202F63F}"/>
    <cellStyle name="20% - Accent4 6" xfId="156" xr:uid="{34A83AA0-64AF-4F94-A503-6B66AF786291}"/>
    <cellStyle name="20% - Accent4 7" xfId="157" xr:uid="{F133B68C-37B6-4046-B43A-51FDE6B78839}"/>
    <cellStyle name="20% - Accent4 8" xfId="158" xr:uid="{C6135576-4E9B-4065-8B00-004EF1FCA6D1}"/>
    <cellStyle name="20% - Accent4 9" xfId="159" xr:uid="{40EED231-805A-4BF5-97A3-F43A32E53F31}"/>
    <cellStyle name="20% - Accent5 10" xfId="160" xr:uid="{556A4AC5-934D-4EE2-937B-B4B7DFF7734B}"/>
    <cellStyle name="20% - Accent5 11" xfId="161" xr:uid="{A6203A92-BE82-4D71-B8FB-C8951C6F6557}"/>
    <cellStyle name="20% - Accent5 12" xfId="162" xr:uid="{B3C0FFAB-84FF-4C68-A0EA-EE0C344E5FE2}"/>
    <cellStyle name="20% - Accent5 13" xfId="163" xr:uid="{3EBDDB24-F2EE-474D-B752-BE8BE3DE5A38}"/>
    <cellStyle name="20% - Accent5 14" xfId="164" xr:uid="{27F55098-EFEC-46E3-BDA7-4277FDD475BC}"/>
    <cellStyle name="20% - Accent5 15" xfId="165" xr:uid="{04EFEFEB-0B30-4830-805D-7D5774D404E0}"/>
    <cellStyle name="20% - Accent5 16" xfId="773" xr:uid="{B58B696C-1AD8-4BE3-AD63-BCF4319CEA5A}"/>
    <cellStyle name="20% - Accent5 2" xfId="27" xr:uid="{00000000-0005-0000-0000-00000D000000}"/>
    <cellStyle name="20% - Accent5 2 2" xfId="831" xr:uid="{652E9BFD-81A6-4A19-BEF1-E7BFF3FAB0F1}"/>
    <cellStyle name="20% - Accent5 2 3" xfId="166" xr:uid="{23D49ADB-2FF4-4148-9B22-B3C738EA11E9}"/>
    <cellStyle name="20% - Accent5 3" xfId="167" xr:uid="{E98098AD-5A8D-48A7-8DE0-9ADC2266105D}"/>
    <cellStyle name="20% - Accent5 4" xfId="168" xr:uid="{1C1E91C7-7042-429F-B1C5-411ACF9CBBCF}"/>
    <cellStyle name="20% - Accent5 5" xfId="169" xr:uid="{422A26CC-E4B4-4336-AA0F-8359A04D7B83}"/>
    <cellStyle name="20% - Accent5 6" xfId="170" xr:uid="{1B4D09BC-54C5-442E-ADA7-412AA2DFD1A5}"/>
    <cellStyle name="20% - Accent5 7" xfId="171" xr:uid="{B4CFA23B-E802-4FB4-AB99-BD62BDE3BEB2}"/>
    <cellStyle name="20% - Accent5 8" xfId="172" xr:uid="{5B8A6E2A-2E41-4FF2-AEC8-5756A286555C}"/>
    <cellStyle name="20% - Accent5 9" xfId="173" xr:uid="{FF94B448-1F47-4F55-9AD1-ABAD8D916933}"/>
    <cellStyle name="20% - Accent6 10" xfId="174" xr:uid="{B0B014D6-3453-46F5-B2FE-B2959DF45DFB}"/>
    <cellStyle name="20% - Accent6 11" xfId="175" xr:uid="{AC3EC00E-9E37-44DC-9918-23252D168BF2}"/>
    <cellStyle name="20% - Accent6 12" xfId="176" xr:uid="{58693F19-3FFD-4B09-A291-A5F2514A84CD}"/>
    <cellStyle name="20% - Accent6 13" xfId="177" xr:uid="{3198F183-ADFC-4503-9E1D-F891D7E566AF}"/>
    <cellStyle name="20% - Accent6 14" xfId="178" xr:uid="{B60C7443-327B-4F8E-9518-15019205241A}"/>
    <cellStyle name="20% - Accent6 15" xfId="179" xr:uid="{45E4AECC-F318-4938-BD9F-65DC08E5D592}"/>
    <cellStyle name="20% - Accent6 16" xfId="774" xr:uid="{4F2E5720-5564-4734-A561-D6DED9723019}"/>
    <cellStyle name="20% - Accent6 2" xfId="28" xr:uid="{00000000-0005-0000-0000-00000E000000}"/>
    <cellStyle name="20% - Accent6 2 2" xfId="835" xr:uid="{E1ACEB4D-35CF-439A-A936-4E9FAADC3D97}"/>
    <cellStyle name="20% - Accent6 2 3" xfId="180" xr:uid="{23858E14-2CB1-44A7-B23D-E19C6229B1E9}"/>
    <cellStyle name="20% - Accent6 3" xfId="181" xr:uid="{C954C1DA-9CC4-4F08-ADE4-65A5EFF632AE}"/>
    <cellStyle name="20% - Accent6 4" xfId="182" xr:uid="{D27369D7-1364-455F-97A9-5A80947173E2}"/>
    <cellStyle name="20% - Accent6 5" xfId="183" xr:uid="{66135377-1C7B-48AD-BBEB-E351F4E0F924}"/>
    <cellStyle name="20% - Accent6 6" xfId="184" xr:uid="{4389F928-9B8B-4D54-BEC3-08B3FBDA9B3F}"/>
    <cellStyle name="20% - Accent6 7" xfId="185" xr:uid="{C2867C10-48D2-4372-BA82-BD0E35CB215A}"/>
    <cellStyle name="20% - Accent6 8" xfId="186" xr:uid="{D841A974-F1F2-4713-A333-1804D458F962}"/>
    <cellStyle name="20% - Accent6 9" xfId="187" xr:uid="{6025B705-C6CF-44DA-AB4D-B4DE7650F5E3}"/>
    <cellStyle name="40% - Accent1 10" xfId="188" xr:uid="{B0E83834-BEB3-4CE3-97BF-242EE57722C5}"/>
    <cellStyle name="40% - Accent1 11" xfId="189" xr:uid="{B4A2DA17-1254-4028-8D4F-31196E952D02}"/>
    <cellStyle name="40% - Accent1 12" xfId="190" xr:uid="{5A5E40CA-9493-4F17-9194-C528CF9B1274}"/>
    <cellStyle name="40% - Accent1 13" xfId="191" xr:uid="{DFBCE186-3B79-43D4-9BFB-7D3DA7941470}"/>
    <cellStyle name="40% - Accent1 14" xfId="192" xr:uid="{AD3BC8B0-7404-4C7A-AD16-9753D6A66FD7}"/>
    <cellStyle name="40% - Accent1 15" xfId="193" xr:uid="{09743533-13AB-44D0-BB58-9017799A680D}"/>
    <cellStyle name="40% - Accent1 16" xfId="775" xr:uid="{3A388316-DEF4-42F9-ABDC-31C94B0C904F}"/>
    <cellStyle name="40% - Accent1 2" xfId="29" xr:uid="{00000000-0005-0000-0000-00000F000000}"/>
    <cellStyle name="40% - Accent1 2 2" xfId="816" xr:uid="{D5E74BFD-9148-4EE4-B593-8994D85408E0}"/>
    <cellStyle name="40% - Accent1 2 3" xfId="194" xr:uid="{452896B4-C918-4AB8-BF14-9E16F99BDB5A}"/>
    <cellStyle name="40% - Accent1 3" xfId="195" xr:uid="{FBDA3C72-C9BF-4515-B12A-B99BEA22797E}"/>
    <cellStyle name="40% - Accent1 4" xfId="196" xr:uid="{7B5C1FE6-1EB8-4FDE-823F-5809E39BB777}"/>
    <cellStyle name="40% - Accent1 5" xfId="197" xr:uid="{EA059D40-C3A0-47F2-AA34-92AF78C5112C}"/>
    <cellStyle name="40% - Accent1 6" xfId="198" xr:uid="{18438076-76AD-4E68-A52D-25EFD9FD58CB}"/>
    <cellStyle name="40% - Accent1 7" xfId="199" xr:uid="{877D8177-7E96-445E-930E-4EAF5ACB4BC6}"/>
    <cellStyle name="40% - Accent1 8" xfId="200" xr:uid="{45082CB2-B4D3-45AF-8A37-0A1A6BBA137C}"/>
    <cellStyle name="40% - Accent1 9" xfId="201" xr:uid="{FD82306A-7FF0-4AD6-9E20-BB1960E1B9E5}"/>
    <cellStyle name="40% - Accent2 10" xfId="202" xr:uid="{DC766658-E04E-4781-9B3D-9FCA499DF540}"/>
    <cellStyle name="40% - Accent2 11" xfId="203" xr:uid="{6EE2C881-3B9E-4BFE-8D6B-74F958F42483}"/>
    <cellStyle name="40% - Accent2 12" xfId="204" xr:uid="{3A4FEACD-1098-4C34-8887-ED7EFF12A8C3}"/>
    <cellStyle name="40% - Accent2 13" xfId="205" xr:uid="{78FD4142-783D-47E9-961D-AD9F53A84A47}"/>
    <cellStyle name="40% - Accent2 14" xfId="206" xr:uid="{F3905C11-5C6E-407F-9FE4-C2BE4ED27FC1}"/>
    <cellStyle name="40% - Accent2 15" xfId="207" xr:uid="{275C7196-9270-4E11-819A-71265121EB4A}"/>
    <cellStyle name="40% - Accent2 16" xfId="776" xr:uid="{98D98272-F30D-416F-8B22-8ADB03B6A6FD}"/>
    <cellStyle name="40% - Accent2 2" xfId="30" xr:uid="{00000000-0005-0000-0000-000010000000}"/>
    <cellStyle name="40% - Accent2 2 2" xfId="820" xr:uid="{C2D10E15-E426-4108-B85B-6C7DE3C1A0B1}"/>
    <cellStyle name="40% - Accent2 2 3" xfId="208" xr:uid="{AE931783-BF8A-406C-9218-F3BDF4370B32}"/>
    <cellStyle name="40% - Accent2 3" xfId="209" xr:uid="{AE954E18-8794-49A9-9415-299F014F3527}"/>
    <cellStyle name="40% - Accent2 4" xfId="210" xr:uid="{19745F1D-242C-4B9C-B9F3-916AFB931858}"/>
    <cellStyle name="40% - Accent2 5" xfId="211" xr:uid="{09233828-006D-4D7D-9EDF-A94417D6147F}"/>
    <cellStyle name="40% - Accent2 6" xfId="212" xr:uid="{04B1B4C5-A88C-4470-82AA-4DF8A01568D5}"/>
    <cellStyle name="40% - Accent2 7" xfId="213" xr:uid="{231EEF1F-0300-4BE4-85CE-ABBF696D4616}"/>
    <cellStyle name="40% - Accent2 8" xfId="214" xr:uid="{4D602BFD-5C21-4733-931F-D2C7D845F201}"/>
    <cellStyle name="40% - Accent2 9" xfId="215" xr:uid="{202359F1-545B-4030-8153-D7B0A55D1230}"/>
    <cellStyle name="40% - Accent3 10" xfId="216" xr:uid="{5878F044-561C-41C6-9C91-123ABCFDB6F3}"/>
    <cellStyle name="40% - Accent3 11" xfId="217" xr:uid="{0E1C3A02-FACD-48C2-B8F2-CBEDA32FEA63}"/>
    <cellStyle name="40% - Accent3 12" xfId="218" xr:uid="{205049EA-A559-4F65-9A9F-92C97EDD3397}"/>
    <cellStyle name="40% - Accent3 13" xfId="219" xr:uid="{A076CB8B-D8B6-4B16-86C2-8BDE586D8BF9}"/>
    <cellStyle name="40% - Accent3 14" xfId="220" xr:uid="{6E255168-72C6-47AA-AAE6-7EC8F79CB76F}"/>
    <cellStyle name="40% - Accent3 15" xfId="221" xr:uid="{3933DF1D-A360-4D2B-AE67-695AA53DA308}"/>
    <cellStyle name="40% - Accent3 16" xfId="777" xr:uid="{D2E2E13A-FC2E-4B8B-A8C3-A662CCA596DB}"/>
    <cellStyle name="40% - Accent3 2" xfId="31" xr:uid="{00000000-0005-0000-0000-000011000000}"/>
    <cellStyle name="40% - Accent3 2 2" xfId="824" xr:uid="{3FFE699D-FF22-4CD8-8F49-961EC3463774}"/>
    <cellStyle name="40% - Accent3 2 3" xfId="222" xr:uid="{CA5F1453-1410-43C5-A45C-F86291F2E44F}"/>
    <cellStyle name="40% - Accent3 3" xfId="223" xr:uid="{00545917-E985-4949-A135-C0069F2F5964}"/>
    <cellStyle name="40% - Accent3 4" xfId="224" xr:uid="{373FD863-FF50-420B-A6A3-4C553869201B}"/>
    <cellStyle name="40% - Accent3 5" xfId="225" xr:uid="{7B0301B7-EBBE-4B25-9875-AB0F581B3909}"/>
    <cellStyle name="40% - Accent3 6" xfId="226" xr:uid="{C97DF1CF-8857-464C-BF5B-4571AF10A22A}"/>
    <cellStyle name="40% - Accent3 7" xfId="227" xr:uid="{9ED2E067-CF4B-41D8-8695-210DD1ED4E22}"/>
    <cellStyle name="40% - Accent3 8" xfId="228" xr:uid="{D9516C01-C1C0-4BEA-AF36-6AC586D99DD9}"/>
    <cellStyle name="40% - Accent3 9" xfId="229" xr:uid="{1557B7B0-3521-4375-A1F2-1FCE64DA907E}"/>
    <cellStyle name="40% - Accent4 10" xfId="230" xr:uid="{FCC8DAE6-7C6C-4C69-83C0-E6494C8B087E}"/>
    <cellStyle name="40% - Accent4 11" xfId="231" xr:uid="{710562A4-BDAA-474B-8C7A-E4207F04BDF2}"/>
    <cellStyle name="40% - Accent4 12" xfId="232" xr:uid="{A8FC7048-3047-4266-997A-9AC419A602D4}"/>
    <cellStyle name="40% - Accent4 13" xfId="233" xr:uid="{2840B729-B5EE-4D9B-BDD5-DA990CC2D323}"/>
    <cellStyle name="40% - Accent4 14" xfId="234" xr:uid="{E21DA2E5-CA4F-4300-8540-BD274395AB98}"/>
    <cellStyle name="40% - Accent4 15" xfId="235" xr:uid="{5F076097-3A67-4408-A0B3-27E99AED263A}"/>
    <cellStyle name="40% - Accent4 16" xfId="778" xr:uid="{9C7A0D89-12CC-4951-A852-99B7293D9A6E}"/>
    <cellStyle name="40% - Accent4 2" xfId="32" xr:uid="{00000000-0005-0000-0000-000012000000}"/>
    <cellStyle name="40% - Accent4 2 2" xfId="828" xr:uid="{DE96DD59-C572-4829-9421-70ACC85D81E7}"/>
    <cellStyle name="40% - Accent4 2 3" xfId="236" xr:uid="{5FB646AB-A516-4BDF-BFE6-9741474BEB55}"/>
    <cellStyle name="40% - Accent4 3" xfId="237" xr:uid="{447B0CD2-53AC-46E0-9B9A-0E0BB08CFE6A}"/>
    <cellStyle name="40% - Accent4 4" xfId="238" xr:uid="{3B7BF122-F8C8-49C7-B305-63AE385C82DE}"/>
    <cellStyle name="40% - Accent4 5" xfId="239" xr:uid="{C4F3B33C-40F7-4211-86F9-2A5435ABE83C}"/>
    <cellStyle name="40% - Accent4 6" xfId="240" xr:uid="{3C1C6561-A7F6-422A-B8D6-2AE50DA1EF28}"/>
    <cellStyle name="40% - Accent4 7" xfId="241" xr:uid="{9F58035A-5FDA-42DA-AD9E-4290B130CD8D}"/>
    <cellStyle name="40% - Accent4 8" xfId="242" xr:uid="{F8347329-2424-479F-B0FB-36BB9B9677F2}"/>
    <cellStyle name="40% - Accent4 9" xfId="243" xr:uid="{A7A92B1F-77C3-466D-ADF9-21AFB314A7BB}"/>
    <cellStyle name="40% - Accent5 10" xfId="244" xr:uid="{81D1D75A-6C36-43A8-9C12-2A10964CFFB6}"/>
    <cellStyle name="40% - Accent5 11" xfId="245" xr:uid="{AB6006B8-9245-460E-9CFC-248A22873C75}"/>
    <cellStyle name="40% - Accent5 12" xfId="246" xr:uid="{39A08134-1E5A-4F3F-9E4C-749CA259A973}"/>
    <cellStyle name="40% - Accent5 13" xfId="247" xr:uid="{D157AAF2-DB8C-469C-BDED-CF9D6A27508D}"/>
    <cellStyle name="40% - Accent5 14" xfId="248" xr:uid="{E27E1984-D386-4E38-A113-807A7FC56898}"/>
    <cellStyle name="40% - Accent5 15" xfId="249" xr:uid="{36634722-E327-4BC0-9113-C77D84A48DC0}"/>
    <cellStyle name="40% - Accent5 16" xfId="779" xr:uid="{E29A45F4-D81A-4E2B-8C48-738596DD8264}"/>
    <cellStyle name="40% - Accent5 2" xfId="33" xr:uid="{00000000-0005-0000-0000-000013000000}"/>
    <cellStyle name="40% - Accent5 2 2" xfId="832" xr:uid="{3A0664EE-7C38-43B4-B8FD-5C6C0FC3BDE3}"/>
    <cellStyle name="40% - Accent5 2 3" xfId="250" xr:uid="{F82C0BC5-6E74-4D55-9F8B-18ADB943D5E2}"/>
    <cellStyle name="40% - Accent5 3" xfId="251" xr:uid="{BED4D3FC-DB10-446F-9B58-67F7BB355728}"/>
    <cellStyle name="40% - Accent5 4" xfId="252" xr:uid="{146C250D-9876-48CC-A43A-80CCE03EAF69}"/>
    <cellStyle name="40% - Accent5 5" xfId="253" xr:uid="{2E069F66-4FD1-485F-812E-2D334075FE3F}"/>
    <cellStyle name="40% - Accent5 6" xfId="254" xr:uid="{A67D1C26-A7E1-4249-8F0A-B74EE22C90FC}"/>
    <cellStyle name="40% - Accent5 7" xfId="255" xr:uid="{BB2E3FCE-8470-4A39-B0B0-06985E6FAF0C}"/>
    <cellStyle name="40% - Accent5 8" xfId="256" xr:uid="{CF48EE0B-3D9A-4E8D-BA4B-93DCA00AC744}"/>
    <cellStyle name="40% - Accent5 9" xfId="257" xr:uid="{EE2A0F91-D9F0-402D-A570-F1F403F262AD}"/>
    <cellStyle name="40% - Accent6 10" xfId="258" xr:uid="{063FF286-593A-43F4-A6A4-C5FAF1B7496C}"/>
    <cellStyle name="40% - Accent6 11" xfId="259" xr:uid="{3A0D6BD3-2517-47F4-ACF6-063BCFEA6422}"/>
    <cellStyle name="40% - Accent6 12" xfId="260" xr:uid="{AFAEDE9C-9F9B-4894-8747-392B027FD40C}"/>
    <cellStyle name="40% - Accent6 13" xfId="261" xr:uid="{66721FAF-ACD8-4D7A-ACA0-DE12C31F562A}"/>
    <cellStyle name="40% - Accent6 14" xfId="262" xr:uid="{24DC32D0-C8F7-4E3B-8854-2AA9EEB4903D}"/>
    <cellStyle name="40% - Accent6 15" xfId="263" xr:uid="{5D979095-49EC-40DE-9D27-4F2C3CF8FC56}"/>
    <cellStyle name="40% - Accent6 16" xfId="780" xr:uid="{D226C986-725A-4430-BB2E-923F5DB35BE0}"/>
    <cellStyle name="40% - Accent6 2" xfId="34" xr:uid="{00000000-0005-0000-0000-000014000000}"/>
    <cellStyle name="40% - Accent6 2 2" xfId="836" xr:uid="{55D6C8D3-8343-4C9B-AF9D-E057025C2BCB}"/>
    <cellStyle name="40% - Accent6 2 3" xfId="264" xr:uid="{66A8F444-729A-480D-91B8-2A2A0AEADE80}"/>
    <cellStyle name="40% - Accent6 3" xfId="265" xr:uid="{30099454-2072-4D8D-A920-2C35B492A4D9}"/>
    <cellStyle name="40% - Accent6 4" xfId="266" xr:uid="{CF27A3A7-120B-4E2B-8CD6-64D7A7BC6399}"/>
    <cellStyle name="40% - Accent6 5" xfId="267" xr:uid="{A557B3E1-5E14-4490-9399-C90860D40BF4}"/>
    <cellStyle name="40% - Accent6 6" xfId="268" xr:uid="{DF3145FD-ABB6-4AD0-A84E-8B8FE4DE779A}"/>
    <cellStyle name="40% - Accent6 7" xfId="269" xr:uid="{EBA005D8-ACE1-451A-98F8-07DA1AA4DB1D}"/>
    <cellStyle name="40% - Accent6 8" xfId="270" xr:uid="{4CB26E9C-9ECA-4043-A3A1-22AA5784988E}"/>
    <cellStyle name="40% - Accent6 9" xfId="271" xr:uid="{4CCF379F-2F25-4939-A225-C4B8453ECE3A}"/>
    <cellStyle name="60% - Accent1 10" xfId="272" xr:uid="{121D0AB9-CE72-4784-9393-8E3D367A5FC1}"/>
    <cellStyle name="60% - Accent1 11" xfId="273" xr:uid="{B7F2F6D3-662C-4B06-81D7-AA81CDFFE44C}"/>
    <cellStyle name="60% - Accent1 12" xfId="274" xr:uid="{CF0770D2-01E8-4E33-BAF7-91F084A95505}"/>
    <cellStyle name="60% - Accent1 13" xfId="275" xr:uid="{7CEC125A-2191-4C31-8E75-FA3AA08AF528}"/>
    <cellStyle name="60% - Accent1 14" xfId="276" xr:uid="{4F76651C-E0C6-4828-8638-CCE7CBEF79BC}"/>
    <cellStyle name="60% - Accent1 15" xfId="277" xr:uid="{8CA670D0-8B0E-4D89-B2A5-E65A4631E0D0}"/>
    <cellStyle name="60% - Accent1 16" xfId="781" xr:uid="{EE15427E-4B7D-46C4-A810-A0149D768BE3}"/>
    <cellStyle name="60% - Accent1 2" xfId="35" xr:uid="{00000000-0005-0000-0000-000015000000}"/>
    <cellStyle name="60% - Accent1 2 2" xfId="817" xr:uid="{DA53280A-48A4-4C8D-B351-917BE633AA11}"/>
    <cellStyle name="60% - Accent1 2 3" xfId="278" xr:uid="{B22BB10A-14FF-4849-A0B3-5F4CFF0AD886}"/>
    <cellStyle name="60% - Accent1 3" xfId="279" xr:uid="{F081065D-FB71-4871-914C-CE127F402382}"/>
    <cellStyle name="60% - Accent1 4" xfId="280" xr:uid="{B2DAFC0D-440B-4325-81DF-8AACD2800598}"/>
    <cellStyle name="60% - Accent1 5" xfId="281" xr:uid="{DC694C4B-078D-4F35-B8DF-EF8AD1F9CBB4}"/>
    <cellStyle name="60% - Accent1 6" xfId="282" xr:uid="{73B8B9D5-1E27-4E10-ADCD-1AB4364307CA}"/>
    <cellStyle name="60% - Accent1 7" xfId="283" xr:uid="{04916911-431D-4FD8-AEB9-9527C7EA90A5}"/>
    <cellStyle name="60% - Accent1 8" xfId="284" xr:uid="{BEC5E216-0D73-4287-B87E-A081C003DB91}"/>
    <cellStyle name="60% - Accent1 9" xfId="285" xr:uid="{6EC31DE2-92E7-4685-8893-10EC7B245FFB}"/>
    <cellStyle name="60% - Accent2 10" xfId="286" xr:uid="{5A4C17A8-4857-4C00-BAD5-907895B2A795}"/>
    <cellStyle name="60% - Accent2 11" xfId="287" xr:uid="{AAAB4EF6-1227-4703-935B-E1144856CDEB}"/>
    <cellStyle name="60% - Accent2 12" xfId="288" xr:uid="{C8E65D39-1F04-4C71-BC79-C3FD8B4C739D}"/>
    <cellStyle name="60% - Accent2 13" xfId="289" xr:uid="{75D766B4-751F-4E61-937A-B29967B28276}"/>
    <cellStyle name="60% - Accent2 14" xfId="290" xr:uid="{B6CBCFDE-2995-4D82-A44C-9F34B0AC89A7}"/>
    <cellStyle name="60% - Accent2 15" xfId="291" xr:uid="{FCB55BF2-48F1-4DF2-B95F-AE5172C28027}"/>
    <cellStyle name="60% - Accent2 16" xfId="782" xr:uid="{77D578A0-FD5A-49D6-94E0-3A5E3FFC73D9}"/>
    <cellStyle name="60% - Accent2 2" xfId="36" xr:uid="{00000000-0005-0000-0000-000016000000}"/>
    <cellStyle name="60% - Accent2 2 2" xfId="821" xr:uid="{0000B17A-C06A-4F22-907A-3FF328F00F86}"/>
    <cellStyle name="60% - Accent2 2 3" xfId="292" xr:uid="{958FB846-B3E0-48B1-98D9-EA000ED18435}"/>
    <cellStyle name="60% - Accent2 3" xfId="293" xr:uid="{1E6A68D4-E7D6-45D5-8321-239EECB71DBD}"/>
    <cellStyle name="60% - Accent2 4" xfId="294" xr:uid="{1AB2AFBD-AA6A-41C7-8244-42E5F5D3FD1C}"/>
    <cellStyle name="60% - Accent2 5" xfId="295" xr:uid="{1C19E159-F86C-42A9-ABE1-591CDBC84F90}"/>
    <cellStyle name="60% - Accent2 6" xfId="296" xr:uid="{9EE756B7-D35D-45CE-8233-30596E37DD24}"/>
    <cellStyle name="60% - Accent2 7" xfId="297" xr:uid="{4C09B745-4F30-4B03-BF81-47729DB3CF3A}"/>
    <cellStyle name="60% - Accent2 8" xfId="298" xr:uid="{B94AA458-577F-4CDE-9BE3-2EC500D97A78}"/>
    <cellStyle name="60% - Accent2 9" xfId="299" xr:uid="{669F84EE-6D47-4B43-95F9-E73081B36D62}"/>
    <cellStyle name="60% - Accent3 10" xfId="300" xr:uid="{E004A4EC-F1DD-46A4-B225-11995009ACD1}"/>
    <cellStyle name="60% - Accent3 11" xfId="301" xr:uid="{39BED4F6-819E-4365-8C8B-40178C8674D1}"/>
    <cellStyle name="60% - Accent3 12" xfId="302" xr:uid="{49B92048-6C3F-4A6B-B81F-749B819D0DE2}"/>
    <cellStyle name="60% - Accent3 13" xfId="303" xr:uid="{89E54486-4DB7-4A0E-807A-CC52AEC1AE84}"/>
    <cellStyle name="60% - Accent3 14" xfId="304" xr:uid="{3729815D-C0C0-44FE-B70F-512CB7FC63E9}"/>
    <cellStyle name="60% - Accent3 15" xfId="305" xr:uid="{E3BCEA63-A2DB-4B83-AC76-8977550F608C}"/>
    <cellStyle name="60% - Accent3 16" xfId="783" xr:uid="{CB624445-18FF-43B8-971E-E4297F509989}"/>
    <cellStyle name="60% - Accent3 2" xfId="37" xr:uid="{00000000-0005-0000-0000-000017000000}"/>
    <cellStyle name="60% - Accent3 2 2" xfId="825" xr:uid="{44DD17FD-58C8-4F15-8A99-9B8CF79411B3}"/>
    <cellStyle name="60% - Accent3 2 3" xfId="306" xr:uid="{D6AF060B-685D-4A0E-ADAF-C6E5982631E4}"/>
    <cellStyle name="60% - Accent3 3" xfId="307" xr:uid="{066235C4-8112-4190-9BB8-40460448C492}"/>
    <cellStyle name="60% - Accent3 4" xfId="308" xr:uid="{FB275DE9-577B-4B6B-B7EB-0300703382DB}"/>
    <cellStyle name="60% - Accent3 5" xfId="309" xr:uid="{21626179-22AF-4425-B3E3-D323B8D89A3B}"/>
    <cellStyle name="60% - Accent3 6" xfId="310" xr:uid="{F2DDA026-78E1-4C8D-A288-3C57E26AD150}"/>
    <cellStyle name="60% - Accent3 7" xfId="311" xr:uid="{83E38BA6-8E54-4ABC-91A3-3ED49925CD9D}"/>
    <cellStyle name="60% - Accent3 8" xfId="312" xr:uid="{26390211-D61D-45BF-BBC5-7FE49861737C}"/>
    <cellStyle name="60% - Accent3 9" xfId="313" xr:uid="{B612C642-70BE-4649-930A-BBD649C8A156}"/>
    <cellStyle name="60% - Accent4 10" xfId="314" xr:uid="{AAF16347-5166-4508-BA3F-D490E39D1490}"/>
    <cellStyle name="60% - Accent4 11" xfId="315" xr:uid="{EB04CC85-EF0F-448E-B94C-16E0F738326D}"/>
    <cellStyle name="60% - Accent4 12" xfId="316" xr:uid="{87018657-7442-4BF1-A854-F7EF377F7D05}"/>
    <cellStyle name="60% - Accent4 13" xfId="317" xr:uid="{9F1F49B9-CB22-4964-8A30-06E5D0B30654}"/>
    <cellStyle name="60% - Accent4 14" xfId="318" xr:uid="{AD06B357-9DA6-4627-8EC8-A5220D680CE6}"/>
    <cellStyle name="60% - Accent4 15" xfId="319" xr:uid="{361052E9-8026-4A4E-A7FB-42F9CB6ED48F}"/>
    <cellStyle name="60% - Accent4 16" xfId="784" xr:uid="{47C94269-E3DE-4187-8087-4B76933C7F34}"/>
    <cellStyle name="60% - Accent4 2" xfId="38" xr:uid="{00000000-0005-0000-0000-000018000000}"/>
    <cellStyle name="60% - Accent4 2 2" xfId="829" xr:uid="{9A15E3F0-3BDC-4AE9-A088-651919D69ED0}"/>
    <cellStyle name="60% - Accent4 2 3" xfId="320" xr:uid="{72D010D9-7502-45D0-B05F-B92BABA26233}"/>
    <cellStyle name="60% - Accent4 3" xfId="321" xr:uid="{ADFC752E-942C-43E0-BF1D-F592C797999E}"/>
    <cellStyle name="60% - Accent4 4" xfId="322" xr:uid="{55B6F08B-7D92-4A8E-B30C-65C9C70CD56A}"/>
    <cellStyle name="60% - Accent4 5" xfId="323" xr:uid="{62F88DA3-F11D-4E51-9969-77F5BDD6C53F}"/>
    <cellStyle name="60% - Accent4 6" xfId="324" xr:uid="{7155239E-D1BE-44CB-8A50-536C5CC3A744}"/>
    <cellStyle name="60% - Accent4 7" xfId="325" xr:uid="{D393407F-B740-4E6D-B506-76010AAD788B}"/>
    <cellStyle name="60% - Accent4 8" xfId="326" xr:uid="{66A852E5-31EB-4F6D-8728-E8A2B5CE781F}"/>
    <cellStyle name="60% - Accent4 9" xfId="327" xr:uid="{BA84BE9B-99F1-4CD6-9C7E-856F335BE3C2}"/>
    <cellStyle name="60% - Accent5 10" xfId="328" xr:uid="{A963E034-9E64-4E89-B8F0-F115F5AAA65A}"/>
    <cellStyle name="60% - Accent5 11" xfId="329" xr:uid="{904852EA-FFB1-47CB-AE94-51F5FBF89AAD}"/>
    <cellStyle name="60% - Accent5 12" xfId="330" xr:uid="{50A01703-8CA0-48E6-98FA-415610CB0F41}"/>
    <cellStyle name="60% - Accent5 13" xfId="331" xr:uid="{E0836346-B2E1-46BA-BA3D-166D1B4193B2}"/>
    <cellStyle name="60% - Accent5 14" xfId="332" xr:uid="{31B79357-0BC4-418C-8617-8F732A50488E}"/>
    <cellStyle name="60% - Accent5 15" xfId="333" xr:uid="{4561D9AC-BAD1-4061-9A9F-6F4CC6D8E7BC}"/>
    <cellStyle name="60% - Accent5 16" xfId="785" xr:uid="{62921C0F-003F-4EB3-82B7-62379FA6FA2F}"/>
    <cellStyle name="60% - Accent5 2" xfId="39" xr:uid="{00000000-0005-0000-0000-000019000000}"/>
    <cellStyle name="60% - Accent5 2 2" xfId="833" xr:uid="{81D9616E-F32A-4263-8427-204776A10764}"/>
    <cellStyle name="60% - Accent5 2 3" xfId="334" xr:uid="{2B160FDD-523E-44FA-BBF2-A885ABBFA819}"/>
    <cellStyle name="60% - Accent5 3" xfId="335" xr:uid="{228875CA-4A37-4DD6-B065-693F85C8A0B2}"/>
    <cellStyle name="60% - Accent5 4" xfId="336" xr:uid="{03B501A0-8915-47F7-989C-079DCC58520A}"/>
    <cellStyle name="60% - Accent5 5" xfId="337" xr:uid="{DBBAEAE6-E755-4C0F-8909-F7E95E331556}"/>
    <cellStyle name="60% - Accent5 6" xfId="338" xr:uid="{6CBDED8D-5F78-4A1E-8FDF-5124269990F2}"/>
    <cellStyle name="60% - Accent5 7" xfId="339" xr:uid="{BA493134-E102-4C9E-BCA2-4E827A30352D}"/>
    <cellStyle name="60% - Accent5 8" xfId="340" xr:uid="{E5CCAB94-2F4B-4054-831E-E7E2F9CD2073}"/>
    <cellStyle name="60% - Accent5 9" xfId="341" xr:uid="{3B976BA8-CF6A-4E3E-8FE9-9FE1A613DF8A}"/>
    <cellStyle name="60% - Accent6 10" xfId="342" xr:uid="{DC2C7613-3F0A-49D1-AD17-3285665FC348}"/>
    <cellStyle name="60% - Accent6 11" xfId="343" xr:uid="{8EB07F71-F72B-44EE-A412-CA0C9E9CCEB9}"/>
    <cellStyle name="60% - Accent6 12" xfId="344" xr:uid="{CEA9548B-BB37-42BD-8290-27DFFFF7464D}"/>
    <cellStyle name="60% - Accent6 13" xfId="345" xr:uid="{05E0F87D-45F8-4B63-A506-191888AD78D6}"/>
    <cellStyle name="60% - Accent6 14" xfId="346" xr:uid="{EDB37D45-0450-4071-AD0E-5EF631CD35AC}"/>
    <cellStyle name="60% - Accent6 15" xfId="347" xr:uid="{6C7DF8D5-D93F-4C3F-8A1B-B840732D2150}"/>
    <cellStyle name="60% - Accent6 16" xfId="786" xr:uid="{AC620523-7C15-4129-8994-447C11F011E2}"/>
    <cellStyle name="60% - Accent6 2" xfId="40" xr:uid="{00000000-0005-0000-0000-00001A000000}"/>
    <cellStyle name="60% - Accent6 2 2" xfId="837" xr:uid="{C211F60E-4F1E-462D-90B1-D1C59A7CA834}"/>
    <cellStyle name="60% - Accent6 2 3" xfId="348" xr:uid="{8FEDC37A-83AA-453F-B9D4-61E8375107AA}"/>
    <cellStyle name="60% - Accent6 3" xfId="349" xr:uid="{A63D4885-BA94-4853-A7BD-AFFFAC1920B8}"/>
    <cellStyle name="60% - Accent6 4" xfId="350" xr:uid="{8A3CFC16-1705-4DF2-8A6F-AA9875D68BA0}"/>
    <cellStyle name="60% - Accent6 5" xfId="351" xr:uid="{DB292F6C-AB35-4BEF-B436-04DCF7815BDF}"/>
    <cellStyle name="60% - Accent6 6" xfId="352" xr:uid="{5024521E-5F69-4CDE-8085-03959B8B9E73}"/>
    <cellStyle name="60% - Accent6 7" xfId="353" xr:uid="{A2573E77-FB71-4184-9A07-0F342EA9BCFD}"/>
    <cellStyle name="60% - Accent6 8" xfId="354" xr:uid="{FF57B009-A40C-4C40-AD15-1BD3894F9A34}"/>
    <cellStyle name="60% - Accent6 9" xfId="355" xr:uid="{7F460525-0B9B-431B-AC5C-1E2EE8771FBF}"/>
    <cellStyle name="Accent1 10" xfId="356" xr:uid="{5D702F71-5298-448D-95F3-3C43CD194A53}"/>
    <cellStyle name="Accent1 11" xfId="357" xr:uid="{85567DA3-A5FA-4720-9124-13817F6F24CF}"/>
    <cellStyle name="Accent1 12" xfId="358" xr:uid="{9F8CB846-DD76-474F-9C05-DE4B0B7C6A62}"/>
    <cellStyle name="Accent1 13" xfId="359" xr:uid="{D44710D6-FEB4-4B8E-AA73-202B4284C3C8}"/>
    <cellStyle name="Accent1 14" xfId="360" xr:uid="{422053BA-6D94-4F2E-A1B1-ABAC4525B803}"/>
    <cellStyle name="Accent1 15" xfId="361" xr:uid="{A1875704-5ECE-4612-9772-19904B18B858}"/>
    <cellStyle name="Accent1 16" xfId="787" xr:uid="{A97D7B3B-83A4-460F-AF58-77C7E8A85F3B}"/>
    <cellStyle name="Accent1 2" xfId="41" xr:uid="{00000000-0005-0000-0000-00001B000000}"/>
    <cellStyle name="Accent1 2 2" xfId="814" xr:uid="{D8C6A5BA-9C94-42E7-B238-00124BC1E5B7}"/>
    <cellStyle name="Accent1 2 3" xfId="362" xr:uid="{A8C6951A-18E5-4626-BFDA-A274AA07EA64}"/>
    <cellStyle name="Accent1 3" xfId="363" xr:uid="{A7AD30D4-1F8B-4798-A5E8-B007655B61F5}"/>
    <cellStyle name="Accent1 4" xfId="364" xr:uid="{F70D2A21-5E75-427B-9A49-C7879FEFE499}"/>
    <cellStyle name="Accent1 5" xfId="365" xr:uid="{195574B9-FA2C-4D0E-80EC-E9D2B3E99470}"/>
    <cellStyle name="Accent1 6" xfId="366" xr:uid="{35A9CE23-BAE9-4556-9CF8-319451A6CC0B}"/>
    <cellStyle name="Accent1 7" xfId="367" xr:uid="{A92F728B-D892-42C5-9F6B-7F264DED586E}"/>
    <cellStyle name="Accent1 8" xfId="368" xr:uid="{C2C70A46-7D76-4ED2-BEF2-B25DB1E2677B}"/>
    <cellStyle name="Accent1 9" xfId="369" xr:uid="{294B5A8D-A5E3-4272-8D09-3F68D8E68C21}"/>
    <cellStyle name="Accent2 10" xfId="370" xr:uid="{84FF7D4D-1E1C-4BE7-8B9F-039C2BC638A9}"/>
    <cellStyle name="Accent2 11" xfId="371" xr:uid="{843D242C-4647-4C9E-90FD-AE74BE489C3A}"/>
    <cellStyle name="Accent2 12" xfId="372" xr:uid="{603FEADC-D8F0-43D7-89C7-CC59CBF7E923}"/>
    <cellStyle name="Accent2 13" xfId="373" xr:uid="{4B6FC0B0-2125-4593-A694-6D0F2E126E5F}"/>
    <cellStyle name="Accent2 14" xfId="374" xr:uid="{B6DC7C0E-30F8-402E-BF60-5FCEC289BFE8}"/>
    <cellStyle name="Accent2 15" xfId="375" xr:uid="{89B64ED2-BDD2-4F72-A4CB-9C8121043CEC}"/>
    <cellStyle name="Accent2 16" xfId="788" xr:uid="{0F01D3EA-A884-46AF-AF28-8FBCB7DB4F43}"/>
    <cellStyle name="Accent2 2" xfId="42" xr:uid="{00000000-0005-0000-0000-00001C000000}"/>
    <cellStyle name="Accent2 2 2" xfId="818" xr:uid="{F4A32345-D18B-422B-9E95-E9D6BCBFA8DE}"/>
    <cellStyle name="Accent2 2 3" xfId="376" xr:uid="{658ACFBF-F8A5-46A6-A4A8-BB00CA5F6D24}"/>
    <cellStyle name="Accent2 3" xfId="377" xr:uid="{0E04D4DB-0043-4EF3-B1DE-89D122024744}"/>
    <cellStyle name="Accent2 4" xfId="378" xr:uid="{ABEA153E-575F-4599-8F2D-CDDDE8620568}"/>
    <cellStyle name="Accent2 5" xfId="379" xr:uid="{B6F33499-F77A-45F7-88AF-FED3701ABE51}"/>
    <cellStyle name="Accent2 6" xfId="380" xr:uid="{3C76C1D3-42D0-4088-9FDA-A18118ACC297}"/>
    <cellStyle name="Accent2 7" xfId="381" xr:uid="{FEC8E6FD-689B-4A71-A528-6A8837063972}"/>
    <cellStyle name="Accent2 8" xfId="382" xr:uid="{A356D243-8855-4D71-ADEC-7D7F568976C0}"/>
    <cellStyle name="Accent2 9" xfId="383" xr:uid="{505F449A-057A-4060-B5A3-641E3DC0385C}"/>
    <cellStyle name="Accent3 10" xfId="384" xr:uid="{45E2612A-F1E5-49CF-9998-716AE4C7E2F0}"/>
    <cellStyle name="Accent3 11" xfId="385" xr:uid="{951959F2-B7B1-44C7-9976-25CD33D5BCBE}"/>
    <cellStyle name="Accent3 12" xfId="386" xr:uid="{0CF52F73-80A2-426A-AD4F-B3553621461F}"/>
    <cellStyle name="Accent3 13" xfId="387" xr:uid="{31A39ED5-FA8D-421D-9FFA-5B9ACD37FF6B}"/>
    <cellStyle name="Accent3 14" xfId="388" xr:uid="{A947A20A-8F2B-4C56-BF86-4257791EADE9}"/>
    <cellStyle name="Accent3 15" xfId="389" xr:uid="{D41435EB-6E64-4382-8481-BF9E91CBCF12}"/>
    <cellStyle name="Accent3 16" xfId="789" xr:uid="{C8733DC0-B5E6-4232-9A49-46F93C0D4E4F}"/>
    <cellStyle name="Accent3 2" xfId="43" xr:uid="{00000000-0005-0000-0000-00001D000000}"/>
    <cellStyle name="Accent3 2 2" xfId="822" xr:uid="{B60E2D03-5380-4C79-985E-C82533A9F749}"/>
    <cellStyle name="Accent3 2 3" xfId="390" xr:uid="{2CBCA5EE-BE77-4470-897F-E80E0D5DF163}"/>
    <cellStyle name="Accent3 3" xfId="391" xr:uid="{7E5E41E5-0AAC-4B04-8490-B57402A0F4BA}"/>
    <cellStyle name="Accent3 4" xfId="392" xr:uid="{F95D2CCE-8F67-4454-A2EA-427DF7044C56}"/>
    <cellStyle name="Accent3 5" xfId="393" xr:uid="{904401F1-D588-4BF1-8332-30B44D2882A5}"/>
    <cellStyle name="Accent3 6" xfId="394" xr:uid="{51445725-488F-4395-9089-4CD2E9935CCB}"/>
    <cellStyle name="Accent3 7" xfId="395" xr:uid="{87034619-7FBA-4BB6-9FD6-0BA43CF303E0}"/>
    <cellStyle name="Accent3 8" xfId="396" xr:uid="{95F92697-F1BE-4802-8AD6-BB4B4CC0E381}"/>
    <cellStyle name="Accent3 9" xfId="397" xr:uid="{1DC0A8BC-6398-46E9-BA7D-385A0F1E2629}"/>
    <cellStyle name="Accent4 10" xfId="398" xr:uid="{0846C6B3-8DC3-40E9-B253-B876D99D423F}"/>
    <cellStyle name="Accent4 11" xfId="399" xr:uid="{AA8A6EFE-68D5-4939-8663-F4C12ECA1874}"/>
    <cellStyle name="Accent4 12" xfId="400" xr:uid="{BCCE4523-5EAE-4B0A-A908-B2BEF07910AA}"/>
    <cellStyle name="Accent4 13" xfId="401" xr:uid="{BE8BA843-2C3B-498E-AA84-AF0EEA4A9D08}"/>
    <cellStyle name="Accent4 14" xfId="402" xr:uid="{2942FC04-1DCE-4A87-932C-CDFCD7D8C80D}"/>
    <cellStyle name="Accent4 15" xfId="403" xr:uid="{CA723D49-D18A-40A2-B08B-E9563211ABCA}"/>
    <cellStyle name="Accent4 16" xfId="871" xr:uid="{A6928AFA-45D5-4ECE-B72F-01121C16BFEF}"/>
    <cellStyle name="Accent4 2" xfId="44" xr:uid="{00000000-0005-0000-0000-00001E000000}"/>
    <cellStyle name="Accent4 2 2" xfId="826" xr:uid="{46F873C4-B866-4F77-AF9B-F232FFBB5B98}"/>
    <cellStyle name="Accent4 2 3" xfId="404" xr:uid="{975A9701-FA0E-4A13-B8DD-CDF2819CD5A2}"/>
    <cellStyle name="Accent4 3" xfId="405" xr:uid="{5B4974FB-59DB-46B5-BB8E-1D441665E735}"/>
    <cellStyle name="Accent4 4" xfId="406" xr:uid="{F373D766-E62C-4E35-B388-048F69949A2A}"/>
    <cellStyle name="Accent4 5" xfId="407" xr:uid="{2737E294-DCBF-46EF-86B0-FE5C12C02CAA}"/>
    <cellStyle name="Accent4 6" xfId="408" xr:uid="{107DD55B-0855-48BB-8177-89B07261A147}"/>
    <cellStyle name="Accent4 7" xfId="409" xr:uid="{0B450E02-87F3-46FC-ABCF-14FF49675432}"/>
    <cellStyle name="Accent4 8" xfId="410" xr:uid="{FA4F0027-AB48-4607-A2C9-2F6DFA011570}"/>
    <cellStyle name="Accent4 9" xfId="411" xr:uid="{8B350769-DEE4-4AA9-9969-CF5914B7C43B}"/>
    <cellStyle name="Accent5 10" xfId="412" xr:uid="{64E3DEE8-54E1-4E9F-815B-D01BC9343BE8}"/>
    <cellStyle name="Accent5 11" xfId="413" xr:uid="{A1144569-983B-49D4-97FA-47DD60DF1F94}"/>
    <cellStyle name="Accent5 12" xfId="414" xr:uid="{562878AE-DB2E-4827-8199-027B77329B98}"/>
    <cellStyle name="Accent5 13" xfId="415" xr:uid="{EE017235-1C02-41B2-8D9B-E1885733A643}"/>
    <cellStyle name="Accent5 14" xfId="416" xr:uid="{B350A851-0856-4638-8406-23D404FCD8BF}"/>
    <cellStyle name="Accent5 15" xfId="417" xr:uid="{00914131-44F1-47F6-A633-AF50C11D9247}"/>
    <cellStyle name="Accent5 16" xfId="866" xr:uid="{6554CF10-4167-4B33-BF47-88337BEAA272}"/>
    <cellStyle name="Accent5 2" xfId="45" xr:uid="{00000000-0005-0000-0000-00001F000000}"/>
    <cellStyle name="Accent5 2 2" xfId="830" xr:uid="{7569D6EC-EB2F-4158-AB54-D4F60CF9ED0B}"/>
    <cellStyle name="Accent5 2 3" xfId="418" xr:uid="{5179EA49-A272-41FC-993B-E4F55677CBC9}"/>
    <cellStyle name="Accent5 3" xfId="419" xr:uid="{2D1C5A73-024B-4C15-B18B-3D645AB7F0C1}"/>
    <cellStyle name="Accent5 4" xfId="420" xr:uid="{6800D9EF-155D-4AE6-942B-0EED17109F2A}"/>
    <cellStyle name="Accent5 5" xfId="421" xr:uid="{7270F192-3905-4544-A9C9-2686AF21939D}"/>
    <cellStyle name="Accent5 6" xfId="422" xr:uid="{55C18A12-D324-472C-9022-BE401BF33F42}"/>
    <cellStyle name="Accent5 7" xfId="423" xr:uid="{671DBB28-BAA0-4308-95F0-4DE0137BDC9E}"/>
    <cellStyle name="Accent5 8" xfId="424" xr:uid="{6679B65E-5BFB-4FE7-8ADE-052325510415}"/>
    <cellStyle name="Accent5 9" xfId="425" xr:uid="{12E34B9E-05B6-4F21-A899-0C0A36736E6C}"/>
    <cellStyle name="Accent6 10" xfId="426" xr:uid="{5732E225-880B-4B24-BD7E-92655A9BE055}"/>
    <cellStyle name="Accent6 11" xfId="427" xr:uid="{FE1FB0D1-F152-4328-9B56-1AAF63E4E7EC}"/>
    <cellStyle name="Accent6 12" xfId="428" xr:uid="{9F90447A-26B8-4B1E-9139-D9E47F0344C5}"/>
    <cellStyle name="Accent6 13" xfId="429" xr:uid="{A7359480-AD64-405B-8B54-22F2CDC03D6B}"/>
    <cellStyle name="Accent6 14" xfId="430" xr:uid="{5DADB6C9-F700-4288-B5EE-846044C5E251}"/>
    <cellStyle name="Accent6 15" xfId="431" xr:uid="{2F5D5605-A8B0-44BB-AFAB-DEE06114F71F}"/>
    <cellStyle name="Accent6 16" xfId="870" xr:uid="{DC8A7880-3A36-41A4-A73A-F9DB1A061A43}"/>
    <cellStyle name="Accent6 2" xfId="46" xr:uid="{00000000-0005-0000-0000-000020000000}"/>
    <cellStyle name="Accent6 2 2" xfId="834" xr:uid="{3B96CDD7-EE3D-42E0-BFB4-03DD4B8BBD24}"/>
    <cellStyle name="Accent6 2 3" xfId="432" xr:uid="{A6EF0BCD-1951-4469-A103-C10605D9C201}"/>
    <cellStyle name="Accent6 3" xfId="433" xr:uid="{937A6A4B-0827-42B7-94E1-ED48F95052E5}"/>
    <cellStyle name="Accent6 4" xfId="434" xr:uid="{02437E66-BCE1-4A90-A9A2-DA098689900A}"/>
    <cellStyle name="Accent6 5" xfId="435" xr:uid="{577460C7-DC19-4713-88DB-4CA0D0F9C622}"/>
    <cellStyle name="Accent6 6" xfId="436" xr:uid="{D59A24A9-41A8-46BF-B9B3-6D69CD3561C7}"/>
    <cellStyle name="Accent6 7" xfId="437" xr:uid="{8CBEE71B-01B1-4BCD-B271-33421739FAFD}"/>
    <cellStyle name="Accent6 8" xfId="438" xr:uid="{B7D34C19-695B-432D-910D-448C2F6E7189}"/>
    <cellStyle name="Accent6 9" xfId="439" xr:uid="{9FD4DBF2-7929-4247-B3EE-5DBD075A23D5}"/>
    <cellStyle name="Bad 10" xfId="440" xr:uid="{566576D2-7204-4BE5-8BDC-957672F81708}"/>
    <cellStyle name="Bad 11" xfId="441" xr:uid="{559A247D-7B62-4A49-9CF0-FBF489CDC04A}"/>
    <cellStyle name="Bad 12" xfId="442" xr:uid="{BF16EEDD-25D2-4EA4-8E63-E658C7170B27}"/>
    <cellStyle name="Bad 13" xfId="443" xr:uid="{98093839-534A-40C9-93AC-6ED13E1668EA}"/>
    <cellStyle name="Bad 14" xfId="444" xr:uid="{BBFC7792-30AF-4045-8C74-F38D575C7A15}"/>
    <cellStyle name="Bad 15" xfId="445" xr:uid="{4C1240DB-66C6-4BAB-8C54-D3C7417CC4C7}"/>
    <cellStyle name="Bad 16" xfId="855" xr:uid="{B7F14968-FE81-46C2-9311-818578C2F573}"/>
    <cellStyle name="Bad 2" xfId="47" xr:uid="{00000000-0005-0000-0000-000021000000}"/>
    <cellStyle name="Bad 2 2" xfId="803" xr:uid="{74E993D3-BC7E-4377-88D7-775701107076}"/>
    <cellStyle name="Bad 2 3" xfId="446" xr:uid="{41A6028F-ABDC-42B2-A98C-558E769DDBB8}"/>
    <cellStyle name="Bad 3" xfId="447" xr:uid="{D76F6138-44C3-441E-875B-A4F2C607CE4C}"/>
    <cellStyle name="Bad 4" xfId="448" xr:uid="{85042327-E6F6-4E0C-A834-E27C1FB2195B}"/>
    <cellStyle name="Bad 5" xfId="449" xr:uid="{71EA3BCB-4953-42EF-A94D-10BF71005792}"/>
    <cellStyle name="Bad 6" xfId="450" xr:uid="{EBC9A3A2-CE6B-425B-A05F-6EAEE22CBFDA}"/>
    <cellStyle name="Bad 7" xfId="451" xr:uid="{0243F4B2-A7ED-47C9-8377-E8C0C97F2BB8}"/>
    <cellStyle name="Bad 8" xfId="452" xr:uid="{5A3E1F77-EF22-4CCE-BC13-7D962668A6D2}"/>
    <cellStyle name="Bad 9" xfId="453" xr:uid="{E5DAD6C6-2824-45DA-A0AF-07DD62140BD5}"/>
    <cellStyle name="Calculation 10" xfId="454" xr:uid="{B082A5D2-CBF8-447D-9EFD-F50F2FC0995D}"/>
    <cellStyle name="Calculation 11" xfId="455" xr:uid="{47971860-E666-4C29-97F9-161A08A9FF1E}"/>
    <cellStyle name="Calculation 12" xfId="456" xr:uid="{2FC89415-36AF-4353-B5B7-78192B53DA51}"/>
    <cellStyle name="Calculation 13" xfId="457" xr:uid="{726743D5-765F-4053-A7B0-CF1E385961A9}"/>
    <cellStyle name="Calculation 14" xfId="458" xr:uid="{E82CFC78-EA29-42A0-8624-BC3BB0C4CF1B}"/>
    <cellStyle name="Calculation 15" xfId="459" xr:uid="{599CDEE9-E7D5-4FCC-9B2A-54F4711FE356}"/>
    <cellStyle name="Calculation 16" xfId="790" xr:uid="{712A35D0-6342-4FA3-89E2-CC72CF61E961}"/>
    <cellStyle name="Calculation 2" xfId="48" xr:uid="{00000000-0005-0000-0000-000022000000}"/>
    <cellStyle name="Calculation 2 2" xfId="807" xr:uid="{B42AAE89-5EA0-4B4D-BAFF-47773D7B4CFD}"/>
    <cellStyle name="Calculation 2 3" xfId="460" xr:uid="{C4C74B5B-8AE0-4EC3-9C78-1196B7B6FD0D}"/>
    <cellStyle name="Calculation 3" xfId="461" xr:uid="{1F8CEF80-6E40-44C7-B96B-7343048F4087}"/>
    <cellStyle name="Calculation 4" xfId="462" xr:uid="{701D28DE-684A-499C-A8BF-54C60C03DEAE}"/>
    <cellStyle name="Calculation 5" xfId="463" xr:uid="{408654D6-6674-41DB-91CE-F0969FF2081D}"/>
    <cellStyle name="Calculation 6" xfId="464" xr:uid="{5D482EDF-5266-43FF-9B1C-CBC5E37E3E6E}"/>
    <cellStyle name="Calculation 7" xfId="465" xr:uid="{083EBA3B-C5DE-464E-A820-DEC2E0B9B615}"/>
    <cellStyle name="Calculation 8" xfId="466" xr:uid="{B78FAE0F-4228-4CAA-8791-909755D8B289}"/>
    <cellStyle name="Calculation 9" xfId="467" xr:uid="{51BC4678-9144-4C80-A553-F021F0AAEB43}"/>
    <cellStyle name="Check Cell 10" xfId="468" xr:uid="{997FE835-F944-429F-9F23-526FFEECE3BE}"/>
    <cellStyle name="Check Cell 11" xfId="469" xr:uid="{DF114F21-C2B3-403B-B0D3-2CC3E61E0EE8}"/>
    <cellStyle name="Check Cell 12" xfId="470" xr:uid="{339E30AC-96AA-4CBD-A482-6CC6FCE29AC4}"/>
    <cellStyle name="Check Cell 13" xfId="471" xr:uid="{76D427B1-8257-473F-9191-F6852C679A79}"/>
    <cellStyle name="Check Cell 14" xfId="472" xr:uid="{3EBAAF24-5E78-4BDD-AFFE-0605609C6746}"/>
    <cellStyle name="Check Cell 15" xfId="473" xr:uid="{E29C7AF3-6982-4C26-A85C-9CC17498033A}"/>
    <cellStyle name="Check Cell 16" xfId="851" xr:uid="{DA86EF6C-96DC-4468-A9D7-A2B132A5CBC6}"/>
    <cellStyle name="Check Cell 2" xfId="49" xr:uid="{00000000-0005-0000-0000-000023000000}"/>
    <cellStyle name="Check Cell 2 2" xfId="809" xr:uid="{0834D282-C2F0-4E40-9F46-AC121EABF6EC}"/>
    <cellStyle name="Check Cell 2 3" xfId="474" xr:uid="{BBE0D81B-B04F-47B8-B9D9-7E418AE7ADCE}"/>
    <cellStyle name="Check Cell 3" xfId="475" xr:uid="{DC684159-56B1-431F-9DF0-56BB473ACBA0}"/>
    <cellStyle name="Check Cell 4" xfId="476" xr:uid="{F67AF96B-4B3A-4B61-B6F6-814D18FE2440}"/>
    <cellStyle name="Check Cell 5" xfId="477" xr:uid="{CB29AD73-0E65-4DA4-A542-081E7B0B7621}"/>
    <cellStyle name="Check Cell 6" xfId="478" xr:uid="{ABEDE31E-2C1B-4954-8E7C-7236B4512FFA}"/>
    <cellStyle name="Check Cell 7" xfId="479" xr:uid="{991EF724-160F-4B20-A41E-4A1F071082EB}"/>
    <cellStyle name="Check Cell 8" xfId="480" xr:uid="{6A1F5257-F00B-4E36-AD85-EBEF8E88730A}"/>
    <cellStyle name="Check Cell 9" xfId="481" xr:uid="{6B69CF47-0A5A-46F4-9DAF-FB4BA3D27483}"/>
    <cellStyle name="Comma" xfId="1" builtinId="3"/>
    <cellStyle name="Comma 10" xfId="482" xr:uid="{8FECAEF1-0324-4522-B12C-14CA6AF8D6F9}"/>
    <cellStyle name="Comma 2" xfId="5" xr:uid="{00000000-0005-0000-0000-000025000000}"/>
    <cellStyle name="Comma 2 2" xfId="696" xr:uid="{5C884EC2-A2E8-4501-80D2-1AD62416BE05}"/>
    <cellStyle name="Comma 2 2 2" xfId="695" xr:uid="{45356556-BBB8-4BAC-AD32-6D82C625287D}"/>
    <cellStyle name="Comma 2 3" xfId="734" xr:uid="{27F51AD3-0C7D-4B0F-B4B0-08BB7C60AE6D}"/>
    <cellStyle name="Comma 2 4" xfId="839" xr:uid="{51C41699-2F14-4740-B30A-17757AFCA611}"/>
    <cellStyle name="Comma 3" xfId="6" xr:uid="{00000000-0005-0000-0000-000026000000}"/>
    <cellStyle name="Comma 3 2" xfId="50" xr:uid="{00000000-0005-0000-0000-000027000000}"/>
    <cellStyle name="Comma 3 2 2" xfId="845" xr:uid="{06F33135-4716-4593-9B2D-3B6B69144D17}"/>
    <cellStyle name="Comma 3 2 3" xfId="697" xr:uid="{2385347A-A18A-44FB-B93F-BA54E6114382}"/>
    <cellStyle name="Comma 3 2 5" xfId="98" xr:uid="{00000000-0005-0000-0000-000028000000}"/>
    <cellStyle name="Comma 3 3" xfId="841" xr:uid="{6F3B3E26-3FC8-4A18-8614-A92B20C5AF9B}"/>
    <cellStyle name="Comma 3 4" xfId="1013" xr:uid="{93DBB256-1BC0-48FF-9C75-641FCC229582}"/>
    <cellStyle name="Comma 3 5" xfId="483" xr:uid="{F7718869-6A96-4AF3-81D7-69A99B2C7D27}"/>
    <cellStyle name="Comma 4" xfId="13" xr:uid="{00000000-0005-0000-0000-000029000000}"/>
    <cellStyle name="Comma 4 2" xfId="718" xr:uid="{D0DD6974-E7F0-4910-AA4F-6BBA504B5857}"/>
    <cellStyle name="Comma 4 2 2" xfId="755" xr:uid="{F6DD45F6-AA08-4067-8760-3140FB1C46EE}"/>
    <cellStyle name="Comma 4 2 2 2" xfId="910" xr:uid="{AB3D9A1D-98A3-4322-A683-8C09853113F7}"/>
    <cellStyle name="Comma 4 2 2 2 2" xfId="1241" xr:uid="{AA2F7961-ECF3-4EBC-90A1-9D7D8B40F223}"/>
    <cellStyle name="Comma 4 2 2 2 2 2" xfId="1474" xr:uid="{21270ADF-E7D8-464A-BC26-DE8E50AFECD9}"/>
    <cellStyle name="Comma 4 2 2 2 3" xfId="1358" xr:uid="{BA5C24C9-1D6A-4368-8680-4AE2FCDC3F8B}"/>
    <cellStyle name="Comma 4 2 2 2 4" xfId="1122" xr:uid="{10FB19E0-5D9C-41C7-8B76-8FD8F1367963}"/>
    <cellStyle name="Comma 4 2 2 3" xfId="980" xr:uid="{124C35C6-121E-48BC-B4E2-4A86CAACA293}"/>
    <cellStyle name="Comma 4 2 2 3 2" xfId="1418" xr:uid="{E9D209CB-A116-47DC-82B1-A39F9EE0AFEE}"/>
    <cellStyle name="Comma 4 2 2 3 3" xfId="1185" xr:uid="{0326AC30-ABE8-4986-8663-1F0E856C12E3}"/>
    <cellStyle name="Comma 4 2 2 4" xfId="1302" xr:uid="{D8140800-B9AD-48FE-A30D-80226EB45111}"/>
    <cellStyle name="Comma 4 2 2 5" xfId="1065" xr:uid="{CD31EEDF-D1FF-431C-9685-02F421699DC0}"/>
    <cellStyle name="Comma 4 2 3" xfId="877" xr:uid="{911F8651-F3EA-4CE8-8564-FEF8B0403898}"/>
    <cellStyle name="Comma 4 2 3 2" xfId="1211" xr:uid="{DA551323-8739-4FD7-A3C1-37A7F4683952}"/>
    <cellStyle name="Comma 4 2 3 2 2" xfId="1444" xr:uid="{6D689856-4D13-4705-A1DF-6BA472F4AF93}"/>
    <cellStyle name="Comma 4 2 3 3" xfId="1328" xr:uid="{2664CE71-23FD-4C73-97D7-14BF4346EA3D}"/>
    <cellStyle name="Comma 4 2 3 4" xfId="1092" xr:uid="{F1050FED-08FE-46E5-A0B9-3619004886D2}"/>
    <cellStyle name="Comma 4 2 4" xfId="950" xr:uid="{537C12F2-00D3-490C-B1C6-0FF5719159D3}"/>
    <cellStyle name="Comma 4 2 4 2" xfId="1392" xr:uid="{C7AF5BEC-A755-4741-8E3C-C34268932174}"/>
    <cellStyle name="Comma 4 2 4 3" xfId="1159" xr:uid="{212B962E-FEA4-4A3E-9652-0DDE300E3E39}"/>
    <cellStyle name="Comma 4 2 5" xfId="1276" xr:uid="{D5CAA9EF-8912-4D00-BF61-F9BC7A4772B2}"/>
    <cellStyle name="Comma 4 2 6" xfId="1039" xr:uid="{CE49E489-05BC-4A71-8EC3-FD661246633E}"/>
    <cellStyle name="Comma 4 3" xfId="726" xr:uid="{67127201-94F5-40AA-8AE2-FB81460347C4}"/>
    <cellStyle name="Comma 4 3 2" xfId="763" xr:uid="{5B7EC4E5-ECF7-4B15-A09D-23B645B4F88C}"/>
    <cellStyle name="Comma 4 3 2 2" xfId="918" xr:uid="{E658FB33-1557-4651-8E1C-BA142126A1E8}"/>
    <cellStyle name="Comma 4 3 2 2 2" xfId="1249" xr:uid="{C596C76D-ECDE-4A0D-9747-26845C136FB2}"/>
    <cellStyle name="Comma 4 3 2 2 2 2" xfId="1482" xr:uid="{92D06D19-0813-437A-80F1-ED18C108F715}"/>
    <cellStyle name="Comma 4 3 2 2 3" xfId="1366" xr:uid="{A7B0B188-956E-4DBD-99A4-E5758BECC5FE}"/>
    <cellStyle name="Comma 4 3 2 2 4" xfId="1130" xr:uid="{8A0EEEAE-AE6C-4963-BBA5-59EDC018D60A}"/>
    <cellStyle name="Comma 4 3 2 3" xfId="988" xr:uid="{C03078A6-19C3-4289-81C7-E8AA019F220E}"/>
    <cellStyle name="Comma 4 3 2 3 2" xfId="1426" xr:uid="{FFEE48A5-F665-4DF0-B7B7-4E37A8A4A939}"/>
    <cellStyle name="Comma 4 3 2 3 3" xfId="1193" xr:uid="{09AAF5DC-B974-42A4-AF2D-32BD1EC925FE}"/>
    <cellStyle name="Comma 4 3 2 4" xfId="1310" xr:uid="{AF59D94F-F15B-48EA-B21F-AC432AC23454}"/>
    <cellStyle name="Comma 4 3 2 5" xfId="1073" xr:uid="{26067BA4-3E55-4DA0-8E34-9551523DB588}"/>
    <cellStyle name="Comma 4 3 3" xfId="885" xr:uid="{8A87DA2E-AA61-4561-B5E8-4813CC7D4658}"/>
    <cellStyle name="Comma 4 3 3 2" xfId="1219" xr:uid="{575DA251-2CA0-401E-B426-9076F102FB9E}"/>
    <cellStyle name="Comma 4 3 3 2 2" xfId="1452" xr:uid="{4E9F9CAD-E96D-4636-92B0-707D07BC2F48}"/>
    <cellStyle name="Comma 4 3 3 3" xfId="1336" xr:uid="{30E8549D-535B-4380-B876-0EE75E63C991}"/>
    <cellStyle name="Comma 4 3 3 4" xfId="1100" xr:uid="{047C5DE1-2659-45EB-A103-18F7B40CFCE4}"/>
    <cellStyle name="Comma 4 3 4" xfId="958" xr:uid="{85799808-3E9F-42A6-BF19-48433923D002}"/>
    <cellStyle name="Comma 4 3 4 2" xfId="1400" xr:uid="{0550F9F1-B02D-454E-94D7-589ACB208F92}"/>
    <cellStyle name="Comma 4 3 4 3" xfId="1167" xr:uid="{1C29E861-3E06-47A1-94E3-8AF606845AC6}"/>
    <cellStyle name="Comma 4 3 5" xfId="1284" xr:uid="{CF437CAC-360E-4884-AF60-368B11CB6458}"/>
    <cellStyle name="Comma 4 3 6" xfId="1047" xr:uid="{C0A5D906-73E8-49A9-A601-A6CE3F8B5C5D}"/>
    <cellStyle name="Comma 4 4" xfId="747" xr:uid="{0B9BCA44-DFFA-4CC3-A75B-421218FEFFE8}"/>
    <cellStyle name="Comma 4 4 2" xfId="902" xr:uid="{C8BDA6AB-74B3-4D08-A410-54F4E97BF3FC}"/>
    <cellStyle name="Comma 4 4 2 2" xfId="1233" xr:uid="{E77F1A97-F579-4335-A04C-D57E5835BC85}"/>
    <cellStyle name="Comma 4 4 2 2 2" xfId="1466" xr:uid="{A4D9D4A8-EF3C-496E-9E8D-C9F187AF6641}"/>
    <cellStyle name="Comma 4 4 2 3" xfId="1350" xr:uid="{19A4DDEC-1099-4BCC-BFB7-B0554E937F32}"/>
    <cellStyle name="Comma 4 4 2 4" xfId="1114" xr:uid="{215A50F9-63DE-436F-ABB5-D560B8641C69}"/>
    <cellStyle name="Comma 4 4 3" xfId="972" xr:uid="{01CD0DAF-2A1A-45AC-A428-611E56F68FA8}"/>
    <cellStyle name="Comma 4 4 3 2" xfId="1410" xr:uid="{451E20B6-7523-4933-83F0-6F2A8A63B3C5}"/>
    <cellStyle name="Comma 4 4 3 3" xfId="1177" xr:uid="{01ED00B4-BAD8-4B65-B432-748338A35FA0}"/>
    <cellStyle name="Comma 4 4 4" xfId="1294" xr:uid="{D2908565-DD96-4CD4-A8F9-F79AF8BDE1F7}"/>
    <cellStyle name="Comma 4 4 5" xfId="1057" xr:uid="{E0EAB927-C99B-4228-BC3E-8F0B521DA070}"/>
    <cellStyle name="Comma 4 5" xfId="863" xr:uid="{3EFD697D-D6C4-4CA7-B04E-B6412980BE8E}"/>
    <cellStyle name="Comma 4 5 2" xfId="1203" xr:uid="{AF133694-6241-4138-ABAC-4AB6FC6ECA78}"/>
    <cellStyle name="Comma 4 5 2 2" xfId="1436" xr:uid="{A37C04A3-570D-4FE6-BD1A-17C18A9E005E}"/>
    <cellStyle name="Comma 4 5 3" xfId="1320" xr:uid="{B197301A-741B-4433-973F-5E1E0E023447}"/>
    <cellStyle name="Comma 4 5 4" xfId="1084" xr:uid="{1EE9568E-58C4-415B-AF12-B388F50F8338}"/>
    <cellStyle name="Comma 4 6" xfId="942" xr:uid="{61C3D071-B490-470C-976E-9FEA44632C71}"/>
    <cellStyle name="Comma 4 6 2" xfId="1384" xr:uid="{2AE5B1D2-6D68-4937-9D3D-0CD5365CB6DC}"/>
    <cellStyle name="Comma 4 6 3" xfId="1151" xr:uid="{05EEA04F-4961-47B1-9E84-9A4BFDCDDA3D}"/>
    <cellStyle name="Comma 4 7" xfId="1268" xr:uid="{7F0F30CE-4CA9-4A1E-9660-386E4D681100}"/>
    <cellStyle name="Comma 4 8" xfId="1031" xr:uid="{1C1658A9-D38B-4BE5-916F-FA668E383A19}"/>
    <cellStyle name="Comma 4 9" xfId="698" xr:uid="{403C2BF1-19F8-4B11-8FB8-2357CD776909}"/>
    <cellStyle name="Comma 5" xfId="51" xr:uid="{00000000-0005-0000-0000-00002A000000}"/>
    <cellStyle name="Comma 5 2" xfId="741" xr:uid="{D478268A-DF0C-4B5B-BBEF-00FA1734E830}"/>
    <cellStyle name="Comma 6" xfId="52" xr:uid="{00000000-0005-0000-0000-00002B000000}"/>
    <cellStyle name="Comma 6 2" xfId="895" xr:uid="{F255B425-0280-4CF8-89B6-EBB2DEB02552}"/>
    <cellStyle name="Comma 6 2 2" xfId="1255" xr:uid="{704A244E-5A2F-4111-8E9C-2B938158BD5D}"/>
    <cellStyle name="Comma 6 2 2 2" xfId="1488" xr:uid="{9297EA6E-2CCB-4112-AF77-09EC4E4C5152}"/>
    <cellStyle name="Comma 6 2 3" xfId="1372" xr:uid="{7E23E9E1-6CEE-4A2F-8C5E-CE28F4FE14D3}"/>
    <cellStyle name="Comma 6 2 4" xfId="1136" xr:uid="{350B5B09-4779-4312-8758-D4340CF22AA9}"/>
    <cellStyle name="Comma 6 3" xfId="966" xr:uid="{6A26894F-FD4A-4F90-BFB9-AE902B473A5C}"/>
    <cellStyle name="Comma 6 3 2" xfId="1460" xr:uid="{39475F79-9885-4357-B4C1-05F47188DE1B}"/>
    <cellStyle name="Comma 6 3 3" xfId="1227" xr:uid="{18FF843B-5F8B-4F38-B119-D2C05ADBC0D3}"/>
    <cellStyle name="Comma 6 4" xfId="1344" xr:uid="{DBD9FCEF-F0D2-4017-9B9B-19883A39E7D5}"/>
    <cellStyle name="Comma 6 5" xfId="1108" xr:uid="{F50B1894-6A6C-4E4A-AB3F-58439678ADF2}"/>
    <cellStyle name="Comma 6 6" xfId="738" xr:uid="{A9251E0A-8C2F-49D9-A754-368AFE55B188}"/>
    <cellStyle name="Comma 7" xfId="102" xr:uid="{D5206E47-2A95-4FF1-9589-DA112C04A81A}"/>
    <cellStyle name="Comma 7 2" xfId="1139" xr:uid="{59452356-5177-4B48-872B-45F54E602F39}"/>
    <cellStyle name="Comma 7 3" xfId="872" xr:uid="{E7864F6D-C031-4AC2-9E32-1C2D4D8E89CF}"/>
    <cellStyle name="Comma 8" xfId="1143" xr:uid="{0FD88E57-14A1-40FC-9477-C96E25492CE0}"/>
    <cellStyle name="Comma 8 2" xfId="1373" xr:uid="{0BB19685-7025-45A9-8241-45B89BCC565C}"/>
    <cellStyle name="Comma 9" xfId="1257" xr:uid="{971631FA-90B2-4CD7-93DD-3F784E81F85A}"/>
    <cellStyle name="Comma0" xfId="7" xr:uid="{00000000-0005-0000-0000-00002D000000}"/>
    <cellStyle name="Currency 2" xfId="12" xr:uid="{00000000-0005-0000-0000-00002F000000}"/>
    <cellStyle name="Currency 2 2" xfId="699" xr:uid="{CCB3356E-8847-428F-9561-B52CF2B5D2E2}"/>
    <cellStyle name="Currency 2 3" xfId="690" xr:uid="{9C4D7435-CAEA-4E1C-AF51-D7C33A5A362E}"/>
    <cellStyle name="Currency 2 4" xfId="865" xr:uid="{8C3B8BBD-B628-4F2B-8D55-97666F333DE1}"/>
    <cellStyle name="Currency 2 5" xfId="1012" xr:uid="{2B08C812-A7E7-4016-93C8-C0DB4CB6968D}"/>
    <cellStyle name="Currency 2 6" xfId="484" xr:uid="{85D9DD75-2F9D-4F20-9400-0DF1B67F12D8}"/>
    <cellStyle name="Currency 3" xfId="53" xr:uid="{00000000-0005-0000-0000-000030000000}"/>
    <cellStyle name="Currency 3 2" xfId="700" xr:uid="{F12677A6-4868-46D1-8874-DF53244EE9F2}"/>
    <cellStyle name="Currency 3 3" xfId="691" xr:uid="{8C0C9F5B-7CBC-4E61-B5B1-D7F321083EB5}"/>
    <cellStyle name="Currency 3 4" xfId="847" xr:uid="{A9840730-335F-4017-8C21-E00A0D19E2FE}"/>
    <cellStyle name="Currency 4" xfId="54" xr:uid="{00000000-0005-0000-0000-000031000000}"/>
    <cellStyle name="Currency 4 2" xfId="1024" xr:uid="{C7D9E384-5727-432F-96D9-82CF94516DD6}"/>
    <cellStyle name="Currency 5" xfId="485" xr:uid="{C7B28150-23F3-45C8-963D-555E5B2F35A2}"/>
    <cellStyle name="Currency0" xfId="8" xr:uid="{00000000-0005-0000-0000-000032000000}"/>
    <cellStyle name="Date" xfId="9" xr:uid="{00000000-0005-0000-0000-000033000000}"/>
    <cellStyle name="Explanatory Text 10" xfId="486" xr:uid="{3F568998-35F7-44A2-9AEC-A813F95A59CE}"/>
    <cellStyle name="Explanatory Text 11" xfId="487" xr:uid="{5FC0FBBC-85B9-45FD-8B6D-CA82D2F1478C}"/>
    <cellStyle name="Explanatory Text 12" xfId="488" xr:uid="{444080BA-CCBC-47B4-82A2-112260A77878}"/>
    <cellStyle name="Explanatory Text 13" xfId="489" xr:uid="{2C2D7632-5C19-4DCD-98DD-F85174427DE2}"/>
    <cellStyle name="Explanatory Text 14" xfId="490" xr:uid="{09616D64-CBE4-4F8D-B345-186D66FA5AFB}"/>
    <cellStyle name="Explanatory Text 15" xfId="491" xr:uid="{C1D71F60-2F1B-47F4-A1FF-22279A29821E}"/>
    <cellStyle name="Explanatory Text 16" xfId="858" xr:uid="{5E0802C2-FAC0-4F40-B18D-7EDA62AA95A1}"/>
    <cellStyle name="Explanatory Text 2" xfId="55" xr:uid="{00000000-0005-0000-0000-000034000000}"/>
    <cellStyle name="Explanatory Text 2 2" xfId="812" xr:uid="{0AC47521-27F7-42DA-B27B-6855D64DA743}"/>
    <cellStyle name="Explanatory Text 2 3" xfId="492" xr:uid="{B8CAF406-178C-404F-AE8E-50A5F2C419F4}"/>
    <cellStyle name="Explanatory Text 3" xfId="493" xr:uid="{3DE7E739-A21D-4074-8DD5-9A974430DDFB}"/>
    <cellStyle name="Explanatory Text 4" xfId="494" xr:uid="{156BF659-3287-4DEB-BCA8-8C04E0893A73}"/>
    <cellStyle name="Explanatory Text 5" xfId="495" xr:uid="{48106F97-63CD-40B9-9462-C458763860F2}"/>
    <cellStyle name="Explanatory Text 6" xfId="496" xr:uid="{EE422B80-A024-477E-8C69-0FAAC5D0CFAC}"/>
    <cellStyle name="Explanatory Text 7" xfId="497" xr:uid="{AFDE6411-3EEE-44AC-B8BF-FA204E5051BF}"/>
    <cellStyle name="Explanatory Text 8" xfId="498" xr:uid="{7BB4893F-B03E-4570-9C80-D4AA4418FA3D}"/>
    <cellStyle name="Explanatory Text 9" xfId="499" xr:uid="{F05F9865-3553-41D8-830A-071B8A90EE20}"/>
    <cellStyle name="Fixed" xfId="10" xr:uid="{00000000-0005-0000-0000-000035000000}"/>
    <cellStyle name="Good 10" xfId="500" xr:uid="{C451AD54-ABF5-4565-B12E-1F6E359DC56B}"/>
    <cellStyle name="Good 11" xfId="501" xr:uid="{477B308C-2A42-4289-8388-841D4F3C01F2}"/>
    <cellStyle name="Good 12" xfId="502" xr:uid="{EED55874-ACA9-43D4-B0F8-9F8CFA3B7EBB}"/>
    <cellStyle name="Good 13" xfId="503" xr:uid="{06738BA4-B842-4E0D-8F29-E7AABAC7C2D0}"/>
    <cellStyle name="Good 14" xfId="504" xr:uid="{F6D303B6-E67A-47E9-8A88-DA7D3C546EB6}"/>
    <cellStyle name="Good 15" xfId="505" xr:uid="{07A1B848-DAF0-4DF4-A5A8-C1DA38F2899A}"/>
    <cellStyle name="Good 16" xfId="854" xr:uid="{99305D87-F9C9-4A92-A870-2CE2C13B233B}"/>
    <cellStyle name="Good 2" xfId="56" xr:uid="{00000000-0005-0000-0000-000036000000}"/>
    <cellStyle name="Good 2 2" xfId="802" xr:uid="{C8062E05-3AC3-4A7D-B3D2-A8C659F209A7}"/>
    <cellStyle name="Good 2 3" xfId="506" xr:uid="{E6E0D2CD-8100-4FCE-A179-F74656B8C726}"/>
    <cellStyle name="Good 3" xfId="507" xr:uid="{D412163F-CAF5-4F3E-B5D9-154CD32B3649}"/>
    <cellStyle name="Good 4" xfId="508" xr:uid="{5163F374-85F1-45C6-A3BF-73D9F4281B84}"/>
    <cellStyle name="Good 5" xfId="509" xr:uid="{E41196D2-18A9-4FAB-A024-99F795C3A322}"/>
    <cellStyle name="Good 6" xfId="510" xr:uid="{686E4C23-FE4E-424C-86B5-FF2A3875654A}"/>
    <cellStyle name="Good 7" xfId="511" xr:uid="{DDFE59F5-E3FE-489A-A546-D535A98225B7}"/>
    <cellStyle name="Good 8" xfId="512" xr:uid="{1D6A403A-D8BE-4EE0-AF00-FBA64FF55CB2}"/>
    <cellStyle name="Good 9" xfId="513" xr:uid="{BCA1139F-F4D8-4CFA-B409-BE5FF150E196}"/>
    <cellStyle name="Grey" xfId="57" xr:uid="{00000000-0005-0000-0000-000037000000}"/>
    <cellStyle name="Grey 2" xfId="58" xr:uid="{00000000-0005-0000-0000-000038000000}"/>
    <cellStyle name="Heading 1 10" xfId="514" xr:uid="{9E624CDE-0423-440C-A4ED-02BA57126B0A}"/>
    <cellStyle name="Heading 1 11" xfId="515" xr:uid="{420CD4AA-C500-43DA-857C-C54649CDD88B}"/>
    <cellStyle name="Heading 1 12" xfId="516" xr:uid="{ED610558-97CF-4C75-8634-AC453831E2A7}"/>
    <cellStyle name="Heading 1 13" xfId="517" xr:uid="{DF3CBB7A-DAC3-43DE-9208-7E0509BE0979}"/>
    <cellStyle name="Heading 1 14" xfId="518" xr:uid="{E35E3306-7E01-4D7E-A942-2DA12E860C2B}"/>
    <cellStyle name="Heading 1 15" xfId="519" xr:uid="{8A590370-8506-4CB7-9C25-363C8FC5ADB6}"/>
    <cellStyle name="Heading 1 16" xfId="859" xr:uid="{F31F6FF6-09B3-4267-84F6-6FFB2F75E5BE}"/>
    <cellStyle name="Heading 1 2" xfId="59" xr:uid="{00000000-0005-0000-0000-000039000000}"/>
    <cellStyle name="Heading 1 2 2" xfId="798" xr:uid="{42114794-85CD-4DC9-9E32-AF5DC4D513C5}"/>
    <cellStyle name="Heading 1 2 3" xfId="520" xr:uid="{442B69F2-4020-4257-9FF0-33B86FEEF72F}"/>
    <cellStyle name="Heading 1 3" xfId="521" xr:uid="{B734E738-71C1-413E-BBE8-89B6B36CE6B8}"/>
    <cellStyle name="Heading 1 4" xfId="522" xr:uid="{F7EF0496-19E7-4393-998C-58E5A1034A4D}"/>
    <cellStyle name="Heading 1 5" xfId="523" xr:uid="{56A7BF5C-A8A0-425C-95B1-EA1F23847572}"/>
    <cellStyle name="Heading 1 6" xfId="524" xr:uid="{C2B4BA43-BB9D-4D8F-B5DA-134E183331EF}"/>
    <cellStyle name="Heading 1 7" xfId="525" xr:uid="{9F6A45B5-23B9-47B1-AEB6-7E721373A1AC}"/>
    <cellStyle name="Heading 1 8" xfId="526" xr:uid="{798AA96D-96A8-4B59-802A-BA99B94902A4}"/>
    <cellStyle name="Heading 1 9" xfId="527" xr:uid="{EF77EB25-2DAB-4D59-921C-0131F9D0B75F}"/>
    <cellStyle name="Heading 2 10" xfId="528" xr:uid="{B5AA27F0-304F-4E99-B21C-8B8712FA4165}"/>
    <cellStyle name="Heading 2 11" xfId="529" xr:uid="{A1D4FE1F-312F-43DB-8CFD-F201869E9B3C}"/>
    <cellStyle name="Heading 2 12" xfId="530" xr:uid="{4007DB4B-D3E9-426D-A7FA-ED0A696AAAF6}"/>
    <cellStyle name="Heading 2 13" xfId="531" xr:uid="{B28FA389-45DF-4AB1-8897-277C23CC3FA7}"/>
    <cellStyle name="Heading 2 14" xfId="532" xr:uid="{5A8C742C-DB19-4EC4-835D-AFC511F93C94}"/>
    <cellStyle name="Heading 2 15" xfId="533" xr:uid="{FA6DE6E7-A037-4E73-AA35-579E61882E7D}"/>
    <cellStyle name="Heading 2 16" xfId="857" xr:uid="{BAC56A11-6A84-4DC7-8A7C-A95273358D05}"/>
    <cellStyle name="Heading 2 2" xfId="60" xr:uid="{00000000-0005-0000-0000-00003A000000}"/>
    <cellStyle name="Heading 2 2 2" xfId="797" xr:uid="{1EC90361-A88E-41E1-B673-8AE5818ECE13}"/>
    <cellStyle name="Heading 2 2 3" xfId="534" xr:uid="{7FC0C457-DBDB-41AD-BEED-45FB73286358}"/>
    <cellStyle name="Heading 2 3" xfId="535" xr:uid="{CB578845-A402-4794-8ECA-F4A5BC80A61C}"/>
    <cellStyle name="Heading 2 4" xfId="536" xr:uid="{DC34F801-A50C-4B02-8269-B1A07F547300}"/>
    <cellStyle name="Heading 2 5" xfId="537" xr:uid="{E412664C-4AC0-4537-9FDD-E07EFCA87B1B}"/>
    <cellStyle name="Heading 2 6" xfId="538" xr:uid="{D4DB2174-C562-4ADE-9FA7-0FEE935AAAB7}"/>
    <cellStyle name="Heading 2 7" xfId="539" xr:uid="{DEDC2B60-1B69-4826-9336-1B2BC2A3B799}"/>
    <cellStyle name="Heading 2 8" xfId="540" xr:uid="{ECA80A98-A669-4991-B231-3FF18FE8AE11}"/>
    <cellStyle name="Heading 2 9" xfId="541" xr:uid="{74B44C0C-BC2A-46CE-879D-E71314F03F44}"/>
    <cellStyle name="Heading 3 10" xfId="542" xr:uid="{0056499D-0B1B-48E3-AFF7-E47A76DDBBFE}"/>
    <cellStyle name="Heading 3 11" xfId="543" xr:uid="{CC48EB8F-6D56-4FAF-95CE-0BFFDB329924}"/>
    <cellStyle name="Heading 3 12" xfId="544" xr:uid="{ED196745-9F63-4C62-9954-D54724F889B3}"/>
    <cellStyle name="Heading 3 13" xfId="545" xr:uid="{2ADA19A8-28E1-4633-BE46-D04DCBD133BE}"/>
    <cellStyle name="Heading 3 14" xfId="546" xr:uid="{D269FC63-B8A0-4224-A885-4DFBDC82C17F}"/>
    <cellStyle name="Heading 3 15" xfId="547" xr:uid="{5C574794-0860-4AF0-805D-7059BDDF9022}"/>
    <cellStyle name="Heading 3 16" xfId="856" xr:uid="{F9DBED36-4DDE-44EA-B350-14A3ED9668CA}"/>
    <cellStyle name="Heading 3 2" xfId="61" xr:uid="{00000000-0005-0000-0000-00003B000000}"/>
    <cellStyle name="Heading 3 2 2" xfId="800" xr:uid="{E3A44095-41C1-4888-B770-A3C44C563613}"/>
    <cellStyle name="Heading 3 2 3" xfId="548" xr:uid="{CD0C936A-A37F-45B3-A551-1CCD5983472B}"/>
    <cellStyle name="Heading 3 3" xfId="549" xr:uid="{4B632B50-B86A-4BD6-B70A-410C94453E8F}"/>
    <cellStyle name="Heading 3 4" xfId="550" xr:uid="{A35712B7-3017-47E0-81A2-4EB9F398CD91}"/>
    <cellStyle name="Heading 3 5" xfId="551" xr:uid="{14F4B2F7-EA1B-4CD7-8338-A3B55E765F77}"/>
    <cellStyle name="Heading 3 6" xfId="552" xr:uid="{642493DE-887B-4A06-A06A-6297B3FF8999}"/>
    <cellStyle name="Heading 3 7" xfId="553" xr:uid="{6E4F8E46-5828-4BAE-A973-606B191C211D}"/>
    <cellStyle name="Heading 3 8" xfId="554" xr:uid="{DB0E6BED-7A26-4E75-B093-BD43156578FD}"/>
    <cellStyle name="Heading 3 9" xfId="555" xr:uid="{358BCA0B-38E7-4986-A011-02C672C2C349}"/>
    <cellStyle name="Heading 4 10" xfId="556" xr:uid="{8B115146-7BB8-4B81-861F-32A38D1DBE13}"/>
    <cellStyle name="Heading 4 11" xfId="557" xr:uid="{BA5FBD86-1D09-487F-B698-4D3B26279FC9}"/>
    <cellStyle name="Heading 4 12" xfId="558" xr:uid="{AE6058B7-193F-4532-A06B-9F23221B3D5D}"/>
    <cellStyle name="Heading 4 13" xfId="559" xr:uid="{7A980230-E901-4F9D-816D-5ACD164F95CD}"/>
    <cellStyle name="Heading 4 14" xfId="560" xr:uid="{F1EC93E7-7A54-45EF-B8C6-A9AACB5D888E}"/>
    <cellStyle name="Heading 4 15" xfId="561" xr:uid="{8AAD284E-8998-43F6-A97F-9397F17CCAAE}"/>
    <cellStyle name="Heading 4 16" xfId="899" xr:uid="{7CF9C2C5-5603-43A8-932A-DF6B5880F72B}"/>
    <cellStyle name="Heading 4 2" xfId="62" xr:uid="{00000000-0005-0000-0000-00003C000000}"/>
    <cellStyle name="Heading 4 2 2" xfId="801" xr:uid="{AF5481CE-3F5B-4067-AC2F-59C876B89B71}"/>
    <cellStyle name="Heading 4 2 3" xfId="562" xr:uid="{4DBCF3A6-B5C3-4771-885C-DA6694A7F581}"/>
    <cellStyle name="Heading 4 3" xfId="563" xr:uid="{53D5D40A-B907-4F0D-BBC7-B9A14AD06670}"/>
    <cellStyle name="Heading 4 4" xfId="564" xr:uid="{F6074E72-6FB2-42ED-8CA7-1E28CCAA9BD5}"/>
    <cellStyle name="Heading 4 5" xfId="565" xr:uid="{DDA30D74-ADE2-4D38-ADB8-C2E6CF93F16A}"/>
    <cellStyle name="Heading 4 6" xfId="566" xr:uid="{76AC7961-3DBE-4A30-871C-01E62F713E82}"/>
    <cellStyle name="Heading 4 7" xfId="567" xr:uid="{4974BFD7-F728-4875-9874-91F45EDDA4BB}"/>
    <cellStyle name="Heading 4 8" xfId="568" xr:uid="{BB57A0B3-EE28-4776-BAEF-6376EF2FAFC8}"/>
    <cellStyle name="Heading 4 9" xfId="569" xr:uid="{BFED68BB-B5AF-46C2-8CBF-5080D92E4AFB}"/>
    <cellStyle name="Hyperlink 2" xfId="860" xr:uid="{19815D14-47F1-4C40-8908-1673DE960848}"/>
    <cellStyle name="Hyperlink 2 2" xfId="1079" xr:uid="{B7941911-38B4-4FE7-BACD-288A82ABB0C8}"/>
    <cellStyle name="Hyperlink 3" xfId="791" xr:uid="{7A09522E-D196-42F7-B014-32412D80B9F6}"/>
    <cellStyle name="Hyperlink 4" xfId="1523" xr:uid="{235BE327-B228-457D-94C2-FC138186B686}"/>
    <cellStyle name="Input [yellow]" xfId="63" xr:uid="{00000000-0005-0000-0000-00003D000000}"/>
    <cellStyle name="Input [yellow] 2" xfId="64" xr:uid="{00000000-0005-0000-0000-00003E000000}"/>
    <cellStyle name="Input 10" xfId="570" xr:uid="{069DF234-84A1-4E00-A14F-7863896AA320}"/>
    <cellStyle name="Input 11" xfId="571" xr:uid="{CE6A837F-79AF-4FC5-9784-7ED9953EC354}"/>
    <cellStyle name="Input 12" xfId="572" xr:uid="{18AB055D-95D5-40A6-B334-75565775AAAA}"/>
    <cellStyle name="Input 13" xfId="573" xr:uid="{E9EDB48C-7B77-456C-8AAE-14670AEFC864}"/>
    <cellStyle name="Input 14" xfId="574" xr:uid="{373C56A7-1B4E-4846-9B18-50CE4B182894}"/>
    <cellStyle name="Input 15" xfId="575" xr:uid="{EB3C41C1-EA4C-4F90-B9E4-615EC0280012}"/>
    <cellStyle name="Input 16" xfId="852" xr:uid="{AA092E4D-9BD3-4E34-9B51-C1A7AB92F3D9}"/>
    <cellStyle name="Input 17" xfId="928" xr:uid="{A5FC5402-8443-4CFE-B8BB-04E05BF3122A}"/>
    <cellStyle name="Input 18" xfId="927" xr:uid="{5DD1FDA6-9E91-44BF-9711-D61B26D3FD88}"/>
    <cellStyle name="Input 19" xfId="926" xr:uid="{3BB892ED-CF61-4FBA-B3DD-F8D4B74AE053}"/>
    <cellStyle name="Input 2" xfId="65" xr:uid="{00000000-0005-0000-0000-00003F000000}"/>
    <cellStyle name="Input 2 2" xfId="805" xr:uid="{E3715E8F-709E-4A08-AEF7-D54EB62A7FD8}"/>
    <cellStyle name="Input 2 3" xfId="576" xr:uid="{D34BDCDB-1998-43C6-BC40-5E036E8649E0}"/>
    <cellStyle name="Input 20" xfId="934" xr:uid="{38FAA33F-2AF3-476E-B1B1-E5248307639C}"/>
    <cellStyle name="Input 3" xfId="577" xr:uid="{F53E2F5D-33EB-4FE2-AF79-C2A1FAA86F0E}"/>
    <cellStyle name="Input 4" xfId="578" xr:uid="{49058892-9165-4E66-8EEA-2AFA430B8DEC}"/>
    <cellStyle name="Input 5" xfId="579" xr:uid="{A312C826-AEF1-48B7-AA47-DF7CA0243D79}"/>
    <cellStyle name="Input 6" xfId="580" xr:uid="{7D67E213-7EB0-4F3E-91C3-FA387B1DEDF1}"/>
    <cellStyle name="Input 7" xfId="581" xr:uid="{ECEB7560-00DD-4419-BBFD-1D266401279E}"/>
    <cellStyle name="Input 8" xfId="582" xr:uid="{E9882AD8-260E-4025-B4A7-6164E193ADA4}"/>
    <cellStyle name="Input 9" xfId="583" xr:uid="{A42343CE-E863-4020-9ACF-21FF6F93DA8F}"/>
    <cellStyle name="Linked Cell 10" xfId="584" xr:uid="{B21F4A40-B749-4006-BA69-DD93F4F95645}"/>
    <cellStyle name="Linked Cell 11" xfId="585" xr:uid="{7C5E111D-2754-40AF-85CF-BD920860561D}"/>
    <cellStyle name="Linked Cell 12" xfId="586" xr:uid="{67355B33-B838-4142-A59A-DA682EDD41CA}"/>
    <cellStyle name="Linked Cell 13" xfId="587" xr:uid="{C24ABC20-0F0E-42C9-A66D-46C1DF61572A}"/>
    <cellStyle name="Linked Cell 14" xfId="588" xr:uid="{7BAC505C-1347-47BB-94C1-4BF5F93D8489}"/>
    <cellStyle name="Linked Cell 15" xfId="589" xr:uid="{F2314CE8-4249-40BB-9A62-8E163E0150B8}"/>
    <cellStyle name="Linked Cell 16" xfId="893" xr:uid="{83678AE8-03BC-4101-8573-36E493C3A34D}"/>
    <cellStyle name="Linked Cell 2" xfId="66" xr:uid="{00000000-0005-0000-0000-000040000000}"/>
    <cellStyle name="Linked Cell 2 2" xfId="808" xr:uid="{CFF4BC8D-A982-40A0-B526-0EA910458D3B}"/>
    <cellStyle name="Linked Cell 2 3" xfId="590" xr:uid="{49F0270A-FD95-4073-B548-2A0E4E22E41C}"/>
    <cellStyle name="Linked Cell 3" xfId="591" xr:uid="{A4ABCC8F-849D-4690-826F-522012C9B1E0}"/>
    <cellStyle name="Linked Cell 4" xfId="592" xr:uid="{F5055E08-3357-44CC-8CA5-30AAE9D24F9C}"/>
    <cellStyle name="Linked Cell 5" xfId="593" xr:uid="{D07BE249-6F9C-440A-9641-503066FDD0F7}"/>
    <cellStyle name="Linked Cell 6" xfId="594" xr:uid="{39D6E0B0-9681-4C5A-87A3-87A5B4900297}"/>
    <cellStyle name="Linked Cell 7" xfId="595" xr:uid="{ECFB7E7E-23BD-4786-921E-428DFD12CEC7}"/>
    <cellStyle name="Linked Cell 8" xfId="596" xr:uid="{A13B6203-94E6-465B-88C0-8333B7EFF1CB}"/>
    <cellStyle name="Linked Cell 9" xfId="597" xr:uid="{814C020F-504A-49DB-B60F-40E62953FEEF}"/>
    <cellStyle name="M" xfId="67" xr:uid="{00000000-0005-0000-0000-000041000000}"/>
    <cellStyle name="M.00" xfId="68" xr:uid="{00000000-0005-0000-0000-000042000000}"/>
    <cellStyle name="M_9. Rev2Cost_GDPIPI" xfId="69" xr:uid="{00000000-0005-0000-0000-000043000000}"/>
    <cellStyle name="M_lists" xfId="70" xr:uid="{00000000-0005-0000-0000-000044000000}"/>
    <cellStyle name="M_lists_4. Current Monthly Fixed Charge" xfId="71" xr:uid="{00000000-0005-0000-0000-000045000000}"/>
    <cellStyle name="M_Sheet4" xfId="72" xr:uid="{00000000-0005-0000-0000-000046000000}"/>
    <cellStyle name="Neutral 10" xfId="598" xr:uid="{6F95EAEC-D219-47AA-818A-6412A59B782E}"/>
    <cellStyle name="Neutral 11" xfId="599" xr:uid="{AB5A434D-7685-4E7B-B984-3B12A50B68C8}"/>
    <cellStyle name="Neutral 12" xfId="600" xr:uid="{F94ACB22-8D04-4F3E-98E2-E51863D5BA55}"/>
    <cellStyle name="Neutral 13" xfId="601" xr:uid="{A23CA9BD-6F4B-4D44-82A7-D0BFD3375E7E}"/>
    <cellStyle name="Neutral 14" xfId="602" xr:uid="{4FD47164-5B43-454C-9A4A-9FDC9E9FEA35}"/>
    <cellStyle name="Neutral 15" xfId="603" xr:uid="{66C52A4E-60B4-4372-B326-1C34BBB46852}"/>
    <cellStyle name="Neutral 16" xfId="792" xr:uid="{E81E74C4-7F10-4522-AC98-50BD1DACA006}"/>
    <cellStyle name="Neutral 2" xfId="73" xr:uid="{00000000-0005-0000-0000-000047000000}"/>
    <cellStyle name="Neutral 2 2" xfId="804" xr:uid="{0A0FF0D2-A479-4191-A737-74B8277B8933}"/>
    <cellStyle name="Neutral 2 3" xfId="604" xr:uid="{94DE363B-90BE-4EC8-B725-DBD4849CAC16}"/>
    <cellStyle name="Neutral 3" xfId="605" xr:uid="{F6D2C34F-C9FB-4B15-884C-D3923FF3B004}"/>
    <cellStyle name="Neutral 4" xfId="606" xr:uid="{FB913938-7725-4FCF-B496-056091105E82}"/>
    <cellStyle name="Neutral 5" xfId="607" xr:uid="{5C7C171D-5911-4DC5-A06C-8C9929ECE242}"/>
    <cellStyle name="Neutral 6" xfId="608" xr:uid="{9FAE97F8-66CD-4CC8-BAD3-EC4497EF96E6}"/>
    <cellStyle name="Neutral 7" xfId="609" xr:uid="{8B9C3F4B-0AE1-4039-AE99-0B371EA450AC}"/>
    <cellStyle name="Neutral 8" xfId="610" xr:uid="{EBF9C081-925B-4056-AB2C-324936527996}"/>
    <cellStyle name="Neutral 9" xfId="611" xr:uid="{690673FD-C651-44D2-AAFE-9267319BA234}"/>
    <cellStyle name="Normal" xfId="0" builtinId="0"/>
    <cellStyle name="Normal - Style1" xfId="74" xr:uid="{00000000-0005-0000-0000-000049000000}"/>
    <cellStyle name="Normal 10" xfId="612" xr:uid="{352B99B7-E791-44FE-A409-3B6B22DBC66D}"/>
    <cellStyle name="Normal 11" xfId="613" xr:uid="{893E931D-4E9C-4905-A23B-BFF0440FB9E0}"/>
    <cellStyle name="Normal 12" xfId="614" xr:uid="{8AE0198E-883C-4F6F-97E3-9C75B3AE60CE}"/>
    <cellStyle name="Normal 13" xfId="615" xr:uid="{643DD5FB-F07D-4293-A038-42E059C88DDB}"/>
    <cellStyle name="Normal 14" xfId="616" xr:uid="{985BC5CD-E9C0-45ED-A7A9-F3178E7A8ACE}"/>
    <cellStyle name="Normal 15" xfId="617" xr:uid="{746CEED5-D31C-4B5E-B01C-999F254D400E}"/>
    <cellStyle name="Normal 16" xfId="618" xr:uid="{8DB39564-67F8-484F-B1B0-00D66C338C64}"/>
    <cellStyle name="Normal 16 10" xfId="1259" xr:uid="{D11C47E5-D4E7-45C3-BB82-0A752B1F0015}"/>
    <cellStyle name="Normal 16 11" xfId="1015" xr:uid="{57D040D4-503F-40A1-90CD-1615B5E01440}"/>
    <cellStyle name="Normal 16 2" xfId="702" xr:uid="{B5CB81A1-FB5B-4416-AC23-B698BDCF35B9}"/>
    <cellStyle name="Normal 16 2 2" xfId="719" xr:uid="{5B176D0D-6DDB-4F20-AC89-9B6D4F4B0722}"/>
    <cellStyle name="Normal 16 2 2 2" xfId="756" xr:uid="{CCED57E6-7CA4-42AD-800A-C43BD096FC98}"/>
    <cellStyle name="Normal 16 2 2 2 2" xfId="911" xr:uid="{EE8A9668-9D87-4B4A-BE05-070C101A8FA1}"/>
    <cellStyle name="Normal 16 2 2 2 2 2" xfId="1242" xr:uid="{8D2422FC-6AEF-4678-A368-A8C1CFEFEE16}"/>
    <cellStyle name="Normal 16 2 2 2 2 2 2" xfId="1475" xr:uid="{4298163A-3ADA-4F1D-AC69-9D98741656A0}"/>
    <cellStyle name="Normal 16 2 2 2 2 3" xfId="1359" xr:uid="{2E131CCB-E43A-4F00-BA88-6385D22F28ED}"/>
    <cellStyle name="Normal 16 2 2 2 2 4" xfId="1123" xr:uid="{37527739-35E6-4706-BBB9-48C6880812AD}"/>
    <cellStyle name="Normal 16 2 2 2 3" xfId="981" xr:uid="{8BCD1CF9-8159-48C3-A165-AB962B87DDD7}"/>
    <cellStyle name="Normal 16 2 2 2 3 2" xfId="1419" xr:uid="{2E9F9722-3CA5-438D-8D6D-7738B0984467}"/>
    <cellStyle name="Normal 16 2 2 2 3 3" xfId="1186" xr:uid="{0E503507-8660-44E0-94C7-F4E10870FF0B}"/>
    <cellStyle name="Normal 16 2 2 2 4" xfId="1303" xr:uid="{979F8276-91F2-47BD-99EF-32588E3605B6}"/>
    <cellStyle name="Normal 16 2 2 2 5" xfId="1066" xr:uid="{86B17F5B-CA6B-4804-949E-F7C2D7ECC56E}"/>
    <cellStyle name="Normal 16 2 2 3" xfId="878" xr:uid="{6FAF650D-7924-4E92-A807-3B59CA51A462}"/>
    <cellStyle name="Normal 16 2 2 3 2" xfId="1212" xr:uid="{BB7F1923-A612-4363-8D4D-F99B8D66B336}"/>
    <cellStyle name="Normal 16 2 2 3 2 2" xfId="1445" xr:uid="{C0CB804A-C941-42EF-8135-ACB20316F4A0}"/>
    <cellStyle name="Normal 16 2 2 3 3" xfId="1329" xr:uid="{026C5EC5-B00A-428E-B16E-AF795C02B991}"/>
    <cellStyle name="Normal 16 2 2 3 4" xfId="1093" xr:uid="{4214FC4B-0897-4487-97F8-6039ABE03C3E}"/>
    <cellStyle name="Normal 16 2 2 4" xfId="951" xr:uid="{89A58685-58FB-4DDC-81B9-B8F938BFE0FA}"/>
    <cellStyle name="Normal 16 2 2 4 2" xfId="1393" xr:uid="{1005D80C-7C29-4324-AE76-4D671E24769A}"/>
    <cellStyle name="Normal 16 2 2 4 3" xfId="1160" xr:uid="{06DDA56E-8B4F-42F1-ABFE-7C780EBB1C9A}"/>
    <cellStyle name="Normal 16 2 2 5" xfId="1277" xr:uid="{EDBECFEE-4A06-4E5F-AB9B-FDDD8FB34AA6}"/>
    <cellStyle name="Normal 16 2 2 6" xfId="1040" xr:uid="{7A69416D-089B-4BE5-8DA8-8A862B132B79}"/>
    <cellStyle name="Normal 16 2 3" xfId="727" xr:uid="{8181242A-1029-403B-A479-2C6824647F65}"/>
    <cellStyle name="Normal 16 2 3 2" xfId="764" xr:uid="{78E809B7-D6B6-4C18-A303-F0AA97DDBDF7}"/>
    <cellStyle name="Normal 16 2 3 2 2" xfId="919" xr:uid="{357A0A9F-B97F-4B6F-9EBD-E523BC482569}"/>
    <cellStyle name="Normal 16 2 3 2 2 2" xfId="1250" xr:uid="{D598DA34-F80F-4574-BBC9-6E38E030DE9C}"/>
    <cellStyle name="Normal 16 2 3 2 2 2 2" xfId="1483" xr:uid="{D252604A-7F20-4973-8D31-A5183EB044BD}"/>
    <cellStyle name="Normal 16 2 3 2 2 3" xfId="1367" xr:uid="{872C178D-A946-4E4A-A209-F681FC201A68}"/>
    <cellStyle name="Normal 16 2 3 2 2 4" xfId="1131" xr:uid="{4F94F7D6-5F4C-4C58-A10F-3D93FB5A55EC}"/>
    <cellStyle name="Normal 16 2 3 2 3" xfId="989" xr:uid="{1480CC62-9DAF-46C4-AD79-E2B7813983F4}"/>
    <cellStyle name="Normal 16 2 3 2 3 2" xfId="1427" xr:uid="{EEA6FC4A-320C-474D-9ACF-041CAE492F1E}"/>
    <cellStyle name="Normal 16 2 3 2 3 3" xfId="1194" xr:uid="{5FB7FA9C-C8C8-42E6-AE95-C79E305A6BA6}"/>
    <cellStyle name="Normal 16 2 3 2 4" xfId="1311" xr:uid="{1D1584EB-8D99-4475-80BF-CA938E0FF133}"/>
    <cellStyle name="Normal 16 2 3 2 5" xfId="1074" xr:uid="{8CE72E2A-58BB-4597-B672-E5D5D011747D}"/>
    <cellStyle name="Normal 16 2 3 3" xfId="886" xr:uid="{5DA7AE01-DF8F-4A33-A683-FA46AF0BB6FF}"/>
    <cellStyle name="Normal 16 2 3 3 2" xfId="1220" xr:uid="{83029381-99CF-447A-9F99-46DD7D22EBF4}"/>
    <cellStyle name="Normal 16 2 3 3 2 2" xfId="1453" xr:uid="{C29BBBF3-C86B-464A-8894-7BD0B0CE222E}"/>
    <cellStyle name="Normal 16 2 3 3 3" xfId="1337" xr:uid="{FC98BCE8-3FCF-4A57-A930-2B978B575E32}"/>
    <cellStyle name="Normal 16 2 3 3 4" xfId="1101" xr:uid="{7C7F496A-2C9B-4DB1-9C43-F623F0CB6591}"/>
    <cellStyle name="Normal 16 2 3 4" xfId="959" xr:uid="{FDA52B70-09C9-4EA2-A9AE-07EF412D60B4}"/>
    <cellStyle name="Normal 16 2 3 4 2" xfId="1401" xr:uid="{B01EF6BA-5909-47FB-94D8-990C9F7ABCE2}"/>
    <cellStyle name="Normal 16 2 3 4 3" xfId="1168" xr:uid="{87AAA9C8-38FB-4BA1-B6D4-52E6F91A1C4C}"/>
    <cellStyle name="Normal 16 2 3 5" xfId="1285" xr:uid="{97EE116A-7435-49E1-9080-E3B0765CF90B}"/>
    <cellStyle name="Normal 16 2 3 6" xfId="1048" xr:uid="{F1C4B3D3-061F-4A83-9412-5A316539AC10}"/>
    <cellStyle name="Normal 16 2 4" xfId="748" xr:uid="{003B8D2F-52A8-48F4-9228-654CB9468373}"/>
    <cellStyle name="Normal 16 2 4 2" xfId="903" xr:uid="{72E27FE8-97D9-4F89-AE82-E538AEEA42F2}"/>
    <cellStyle name="Normal 16 2 4 2 2" xfId="1234" xr:uid="{E797BDCF-554C-47DF-99C3-F7811DA4E312}"/>
    <cellStyle name="Normal 16 2 4 2 2 2" xfId="1467" xr:uid="{8A537419-5CB5-4956-B41F-351C1B7B1E04}"/>
    <cellStyle name="Normal 16 2 4 2 3" xfId="1351" xr:uid="{4B24532C-C426-4608-99ED-8DE66DB46408}"/>
    <cellStyle name="Normal 16 2 4 2 4" xfId="1115" xr:uid="{F96E555E-18E3-48D0-A7CF-EDFFCF8B6C48}"/>
    <cellStyle name="Normal 16 2 4 3" xfId="973" xr:uid="{80BE72E1-5B95-4FF6-81A6-5C3E36BA1281}"/>
    <cellStyle name="Normal 16 2 4 3 2" xfId="1385" xr:uid="{E1836667-345E-4348-AB82-6807F54570EB}"/>
    <cellStyle name="Normal 16 2 4 3 3" xfId="1152" xr:uid="{48A3CDD0-4359-4D55-A277-EF0A326D1B73}"/>
    <cellStyle name="Normal 16 2 4 4" xfId="1269" xr:uid="{25BE4342-2353-4828-9B45-469672BDA3F8}"/>
    <cellStyle name="Normal 16 2 4 5" xfId="1032" xr:uid="{D8FEFC3C-03C0-436A-B6F0-54ABB8426012}"/>
    <cellStyle name="Normal 16 2 5" xfId="867" xr:uid="{94397E37-06A9-4C98-8C7A-3F080653F666}"/>
    <cellStyle name="Normal 16 2 5 2" xfId="1178" xr:uid="{36857F4C-D30B-45F2-A807-D90702A26108}"/>
    <cellStyle name="Normal 16 2 5 2 2" xfId="1411" xr:uid="{57D3B334-254F-4A04-B084-BF45905564AB}"/>
    <cellStyle name="Normal 16 2 5 3" xfId="1295" xr:uid="{2EB076AC-55BB-4FAD-B567-D01CF76CD668}"/>
    <cellStyle name="Normal 16 2 5 4" xfId="1058" xr:uid="{701C20DC-C784-4E88-BCFC-3A954897E3D8}"/>
    <cellStyle name="Normal 16 2 6" xfId="943" xr:uid="{EB8BF13E-CA49-442A-A21B-491C54C4EF03}"/>
    <cellStyle name="Normal 16 2 6 2" xfId="1204" xr:uid="{6CBAC271-C332-4BB7-9C98-A5674A9D977F}"/>
    <cellStyle name="Normal 16 2 6 2 2" xfId="1437" xr:uid="{58294802-60FB-4308-8041-E761EAD08C59}"/>
    <cellStyle name="Normal 16 2 6 3" xfId="1321" xr:uid="{6AB800DB-38E9-406C-A358-173ABD9F97E2}"/>
    <cellStyle name="Normal 16 2 6 4" xfId="1085" xr:uid="{0800CD92-0CED-44DA-87C1-D87CB2577BE9}"/>
    <cellStyle name="Normal 16 2 7" xfId="1145" xr:uid="{5BEA8471-93C4-4F4A-B01A-D3C2D15F52F8}"/>
    <cellStyle name="Normal 16 2 7 2" xfId="1378" xr:uid="{E286ACE1-416B-4AE7-A618-A2950CA5912D}"/>
    <cellStyle name="Normal 16 2 8" xfId="1262" xr:uid="{9667BC3C-4D98-4C69-85D7-DF0356E78227}"/>
    <cellStyle name="Normal 16 2 9" xfId="1025" xr:uid="{F6FA6B5F-B0B8-4489-A2DF-9B1AA05F7B3E}"/>
    <cellStyle name="Normal 16 3" xfId="692" xr:uid="{75AFC1AB-C96C-4A7A-B1F8-1CBE54E53C8B}"/>
    <cellStyle name="Normal 16 3 2" xfId="745" xr:uid="{7ACC2397-C183-488E-BAB0-A35AF22A0232}"/>
    <cellStyle name="Normal 16 3 2 2" xfId="900" xr:uid="{CC56C255-3000-4976-B11A-C22C6006C2BD}"/>
    <cellStyle name="Normal 16 3 2 2 2" xfId="1231" xr:uid="{9102B0EE-CEED-4C5B-85B3-5CD58E587B30}"/>
    <cellStyle name="Normal 16 3 2 2 2 2" xfId="1464" xr:uid="{FAF5085B-5263-435D-A101-F7DA350026F5}"/>
    <cellStyle name="Normal 16 3 2 2 3" xfId="1348" xr:uid="{7A3F7C50-18E7-4F81-A568-30789E504B05}"/>
    <cellStyle name="Normal 16 3 2 2 4" xfId="1112" xr:uid="{33033AB1-B54C-4D0E-A57A-B5F4EAF19085}"/>
    <cellStyle name="Normal 16 3 2 3" xfId="970" xr:uid="{592E2029-CE45-42F4-A5F0-68CB25F990C5}"/>
    <cellStyle name="Normal 16 3 2 3 2" xfId="1408" xr:uid="{D0BB00D9-8E74-4835-8172-2500BF090980}"/>
    <cellStyle name="Normal 16 3 2 3 3" xfId="1175" xr:uid="{555F11FC-0FFA-4D50-B298-0B2BD0EC417C}"/>
    <cellStyle name="Normal 16 3 2 4" xfId="1292" xr:uid="{9EB1F452-8282-42A8-A521-AED9E558438D}"/>
    <cellStyle name="Normal 16 3 2 5" xfId="1055" xr:uid="{1ECE2BC0-98B3-4C95-9627-9350827B8964}"/>
    <cellStyle name="Normal 16 3 3" xfId="861" xr:uid="{AA74D108-1E6D-4538-BBBF-22C23DEA3B92}"/>
    <cellStyle name="Normal 16 3 3 2" xfId="1201" xr:uid="{3F2079A9-ADA6-474F-8A80-5ABBBFA141E3}"/>
    <cellStyle name="Normal 16 3 3 2 2" xfId="1434" xr:uid="{3610F4DB-46A2-4A87-9212-45C779594343}"/>
    <cellStyle name="Normal 16 3 3 3" xfId="1318" xr:uid="{40650D26-9659-4451-94DE-50DDC58FA0FC}"/>
    <cellStyle name="Normal 16 3 3 4" xfId="1082" xr:uid="{112FBEDC-618C-4338-9BE5-A0890D22D505}"/>
    <cellStyle name="Normal 16 3 4" xfId="940" xr:uid="{DF1E51C7-A3C3-441D-8D06-72D100FFB01E}"/>
    <cellStyle name="Normal 16 3 4 2" xfId="1382" xr:uid="{E5702181-C0C8-4BA9-A193-592F6C671E0E}"/>
    <cellStyle name="Normal 16 3 4 3" xfId="1149" xr:uid="{2596E483-19F4-47AA-BA41-34E801339111}"/>
    <cellStyle name="Normal 16 3 5" xfId="1266" xr:uid="{D9CE3EBE-49F0-4D58-ABE3-0F7215A9BC85}"/>
    <cellStyle name="Normal 16 3 6" xfId="1029" xr:uid="{EE401F4A-9970-4582-83DC-88A28DD98B3C}"/>
    <cellStyle name="Normal 16 4" xfId="716" xr:uid="{F94CDDB1-AC0E-45C9-9E5D-42E8F8937EC7}"/>
    <cellStyle name="Normal 16 4 2" xfId="753" xr:uid="{0F30F6BB-A628-408F-AFF4-147C9727888A}"/>
    <cellStyle name="Normal 16 4 2 2" xfId="908" xr:uid="{C2B5C1E4-D43C-48E5-B24E-A5FE2C7ADE62}"/>
    <cellStyle name="Normal 16 4 2 2 2" xfId="1239" xr:uid="{CDB9DCED-6BC2-47C6-AC63-504FA1793D4C}"/>
    <cellStyle name="Normal 16 4 2 2 2 2" xfId="1472" xr:uid="{29CD4C29-E0CA-4058-A84D-BB1FE7C39A66}"/>
    <cellStyle name="Normal 16 4 2 2 3" xfId="1356" xr:uid="{22F798B6-306F-4DF2-9EDF-C39A69EF75F7}"/>
    <cellStyle name="Normal 16 4 2 2 4" xfId="1120" xr:uid="{918BAB90-6D29-492C-8E36-770CE13C6185}"/>
    <cellStyle name="Normal 16 4 2 3" xfId="978" xr:uid="{C743BE88-30B7-4A77-BFDE-0D65DA21EDF9}"/>
    <cellStyle name="Normal 16 4 2 3 2" xfId="1416" xr:uid="{07469379-CAD4-46AD-913C-9C8844F80971}"/>
    <cellStyle name="Normal 16 4 2 3 3" xfId="1183" xr:uid="{CE51430F-DE24-4741-BF15-4356FEC478DC}"/>
    <cellStyle name="Normal 16 4 2 4" xfId="1300" xr:uid="{13188033-950F-4035-9540-8F761AB2F1BB}"/>
    <cellStyle name="Normal 16 4 2 5" xfId="1063" xr:uid="{E71989F3-B066-4A3D-9A41-D6457AA038F5}"/>
    <cellStyle name="Normal 16 4 3" xfId="875" xr:uid="{6B1972C1-3BDC-4BC2-9C6C-BE908A3AFF67}"/>
    <cellStyle name="Normal 16 4 3 2" xfId="1209" xr:uid="{C2B55D3C-6699-41B9-AB15-5A45144CEFF1}"/>
    <cellStyle name="Normal 16 4 3 2 2" xfId="1442" xr:uid="{1E535E8F-931B-40A4-B39E-B787ECC9506A}"/>
    <cellStyle name="Normal 16 4 3 3" xfId="1326" xr:uid="{BE5C968D-05EC-447B-B945-E2F3CC2206BC}"/>
    <cellStyle name="Normal 16 4 3 4" xfId="1090" xr:uid="{11A2E6CB-F2E4-4E5B-928C-62F98322B322}"/>
    <cellStyle name="Normal 16 4 4" xfId="948" xr:uid="{9B328873-1806-4082-B064-C7A23B75314F}"/>
    <cellStyle name="Normal 16 4 4 2" xfId="1390" xr:uid="{7AEB1605-5FD2-4024-91D9-891CD1546843}"/>
    <cellStyle name="Normal 16 4 4 3" xfId="1157" xr:uid="{0D92C57B-0246-46A8-A079-53C6CB3C8803}"/>
    <cellStyle name="Normal 16 4 5" xfId="1274" xr:uid="{BB64F024-BAC7-44C7-B8F7-13A1FAEC51DD}"/>
    <cellStyle name="Normal 16 4 6" xfId="1037" xr:uid="{A4933E40-6FC5-405E-A940-AA6D0C52D173}"/>
    <cellStyle name="Normal 16 5" xfId="724" xr:uid="{7ABCE511-FB84-43D8-8AFF-E536CB54C775}"/>
    <cellStyle name="Normal 16 5 2" xfId="761" xr:uid="{66781CC8-3178-4CC0-9384-C80324B91394}"/>
    <cellStyle name="Normal 16 5 2 2" xfId="916" xr:uid="{3D47E10A-E3FA-4933-AF77-389A88B36C62}"/>
    <cellStyle name="Normal 16 5 2 2 2" xfId="1247" xr:uid="{9EEE97D1-8904-4026-AFCB-1AE58CA518B4}"/>
    <cellStyle name="Normal 16 5 2 2 2 2" xfId="1480" xr:uid="{65162FBC-5C17-4D71-883C-7E26DC4617E8}"/>
    <cellStyle name="Normal 16 5 2 2 3" xfId="1364" xr:uid="{ECBD7176-25D0-4351-82B7-A206A0C35428}"/>
    <cellStyle name="Normal 16 5 2 2 4" xfId="1128" xr:uid="{B0005392-6A58-4646-9B1C-DB806894FBC0}"/>
    <cellStyle name="Normal 16 5 2 3" xfId="986" xr:uid="{2E26093C-AB4E-4760-B265-60BE2F318FB5}"/>
    <cellStyle name="Normal 16 5 2 3 2" xfId="1424" xr:uid="{1C563250-2DE2-49D5-A64A-CDC7D41AE731}"/>
    <cellStyle name="Normal 16 5 2 3 3" xfId="1191" xr:uid="{81C1BDF8-F98F-4459-AC5A-02C501FB301C}"/>
    <cellStyle name="Normal 16 5 2 4" xfId="1308" xr:uid="{34855590-3299-46E8-8AEF-DB5FAFD98962}"/>
    <cellStyle name="Normal 16 5 2 5" xfId="1071" xr:uid="{9B94545B-F5F1-4BA5-87C1-5BD7763A2A19}"/>
    <cellStyle name="Normal 16 5 3" xfId="883" xr:uid="{C7BEDDA9-3EA0-4519-8044-963237B8C57F}"/>
    <cellStyle name="Normal 16 5 3 2" xfId="1217" xr:uid="{6FD1A33E-7A6D-437F-BAAE-78F5BF240666}"/>
    <cellStyle name="Normal 16 5 3 2 2" xfId="1450" xr:uid="{6A67D5BC-98E4-4E92-A4C5-4B37B80254D6}"/>
    <cellStyle name="Normal 16 5 3 3" xfId="1334" xr:uid="{1C2E214E-6433-4C88-B51A-FCCF7270D323}"/>
    <cellStyle name="Normal 16 5 3 4" xfId="1098" xr:uid="{944A7916-B300-4BE8-92A0-56F7A459E40A}"/>
    <cellStyle name="Normal 16 5 4" xfId="956" xr:uid="{0BF55E71-56B9-4AED-B999-3F4BAD64225C}"/>
    <cellStyle name="Normal 16 5 4 2" xfId="1398" xr:uid="{9372F4C0-4C76-48A7-82FA-4E4DC2B6579C}"/>
    <cellStyle name="Normal 16 5 4 3" xfId="1165" xr:uid="{B6D83829-DBBE-44A9-A070-F40F3B710B59}"/>
    <cellStyle name="Normal 16 5 5" xfId="1282" xr:uid="{C2A1EC7C-8B6D-4FB3-8405-87E4108A8508}"/>
    <cellStyle name="Normal 16 5 6" xfId="1045" xr:uid="{7F9190FF-B1C3-4A13-AC17-4E3DCC037934}"/>
    <cellStyle name="Normal 16 6" xfId="742" xr:uid="{7C4D855B-77D0-4FD9-84A4-C646DB9A1136}"/>
    <cellStyle name="Normal 16 6 2" xfId="897" xr:uid="{92B84C2B-CD15-4FAE-ABCB-7F82DE028B7F}"/>
    <cellStyle name="Normal 16 6 2 2" xfId="1229" xr:uid="{3525B0DE-9753-4275-97BD-E94095C42BDD}"/>
    <cellStyle name="Normal 16 6 2 2 2" xfId="1462" xr:uid="{483AADAC-EDAA-4729-A915-4CFD2899E48B}"/>
    <cellStyle name="Normal 16 6 2 3" xfId="1346" xr:uid="{5E032A8D-DFE9-4B53-81BB-D6592597D222}"/>
    <cellStyle name="Normal 16 6 2 4" xfId="1110" xr:uid="{ED2CFEC9-EF56-4378-9B0A-9239B876CA55}"/>
    <cellStyle name="Normal 16 6 3" xfId="968" xr:uid="{E638FDF6-C53D-4113-883F-5F6B8E25A712}"/>
    <cellStyle name="Normal 16 6 3 2" xfId="1380" xr:uid="{5B87E875-39C3-4476-BC67-131E3C1BCF5D}"/>
    <cellStyle name="Normal 16 6 3 3" xfId="1147" xr:uid="{31A7468B-9D98-4F5A-9CFD-7A85237A6C52}"/>
    <cellStyle name="Normal 16 6 4" xfId="1264" xr:uid="{9031939C-395B-46CA-AC12-69BC813952AD}"/>
    <cellStyle name="Normal 16 6 5" xfId="1027" xr:uid="{E279AB78-14E9-4C44-882F-410D7439A979}"/>
    <cellStyle name="Normal 16 7" xfId="848" xr:uid="{E5C65F03-6086-43BE-9428-3E10061B96C8}"/>
    <cellStyle name="Normal 16 7 2" xfId="1173" xr:uid="{DF7B8223-8079-4A11-AA14-B842A1AB986C}"/>
    <cellStyle name="Normal 16 7 2 2" xfId="1406" xr:uid="{5BD90DF6-C9EE-4E63-B7B5-4243D1A33C2C}"/>
    <cellStyle name="Normal 16 7 3" xfId="1290" xr:uid="{1BB29B83-1557-44DD-829F-12EC44F3FB73}"/>
    <cellStyle name="Normal 16 7 4" xfId="1053" xr:uid="{1FD5B3C2-B6E5-42B2-B381-84051E674AED}"/>
    <cellStyle name="Normal 16 8" xfId="937" xr:uid="{DF0E4876-8E87-423C-BC2F-71A503FB00BC}"/>
    <cellStyle name="Normal 16 8 2" xfId="1199" xr:uid="{E4D6D739-EACB-4E1F-94EC-CA8554E496DF}"/>
    <cellStyle name="Normal 16 8 2 2" xfId="1432" xr:uid="{39ECDD55-84A6-4955-825C-E5B06481C532}"/>
    <cellStyle name="Normal 16 8 3" xfId="1316" xr:uid="{88801C65-8F38-43C1-AA37-1BE4356B18A7}"/>
    <cellStyle name="Normal 16 8 4" xfId="1080" xr:uid="{3D817D99-C614-4377-AB8D-D9735607212A}"/>
    <cellStyle name="Normal 16 9" xfId="1140" xr:uid="{8534E94A-8D28-48DF-973A-AC8924C02445}"/>
    <cellStyle name="Normal 16 9 2" xfId="1375" xr:uid="{7EAD7DFC-98F1-4BD8-8F03-C79EDBB3DB4C}"/>
    <cellStyle name="Normal 17" xfId="619" xr:uid="{0C8ADA19-BD56-4582-8D5B-93133CD00AB2}"/>
    <cellStyle name="Normal 17 10" xfId="1260" xr:uid="{9D0FD28E-A9D9-4E0F-9A5D-B2697CB29779}"/>
    <cellStyle name="Normal 17 11" xfId="1016" xr:uid="{0E12EE3F-6CC6-4ABA-9011-C6505CBD1CB3}"/>
    <cellStyle name="Normal 17 2" xfId="703" xr:uid="{CFA2D5BB-9ED6-4529-AC96-8FE18C873E09}"/>
    <cellStyle name="Normal 17 2 2" xfId="720" xr:uid="{1EBE8604-2098-4E49-B17A-54E83EAC3E11}"/>
    <cellStyle name="Normal 17 2 2 2" xfId="757" xr:uid="{3DAF6FA3-C3EF-4D1F-8BE1-3263E59AC999}"/>
    <cellStyle name="Normal 17 2 2 2 2" xfId="912" xr:uid="{ACD4999E-093B-4FE1-8F29-4A2660D07D12}"/>
    <cellStyle name="Normal 17 2 2 2 2 2" xfId="1243" xr:uid="{502652A6-FAEA-4566-9776-309606FBB2D8}"/>
    <cellStyle name="Normal 17 2 2 2 2 2 2" xfId="1476" xr:uid="{75EE7E14-43D6-4A1A-BC47-72F4E2D9CE68}"/>
    <cellStyle name="Normal 17 2 2 2 2 3" xfId="1360" xr:uid="{BE93CB78-B43F-4E69-9AB5-8A9DFD95F185}"/>
    <cellStyle name="Normal 17 2 2 2 2 4" xfId="1124" xr:uid="{2DB3CD64-076E-4A80-82B3-EF8884AFB89D}"/>
    <cellStyle name="Normal 17 2 2 2 3" xfId="982" xr:uid="{B6605F7C-8B2F-4700-BB67-4306C9A47B08}"/>
    <cellStyle name="Normal 17 2 2 2 3 2" xfId="1420" xr:uid="{B79E8AF8-9E4C-4800-B097-E2D7638853F3}"/>
    <cellStyle name="Normal 17 2 2 2 3 3" xfId="1187" xr:uid="{FD380C7F-5973-4C40-8322-842654ED9E0B}"/>
    <cellStyle name="Normal 17 2 2 2 4" xfId="1304" xr:uid="{1E2B48F7-05F7-429B-9AE4-A67EB43A46A8}"/>
    <cellStyle name="Normal 17 2 2 2 5" xfId="1067" xr:uid="{402E278B-6047-48DA-A4F6-EE347BD0179D}"/>
    <cellStyle name="Normal 17 2 2 3" xfId="879" xr:uid="{05EEBCB2-86EC-4B17-83C9-DE3E35814002}"/>
    <cellStyle name="Normal 17 2 2 3 2" xfId="1213" xr:uid="{B3E7D3E9-7A9F-4382-8FB5-B95996F878C3}"/>
    <cellStyle name="Normal 17 2 2 3 2 2" xfId="1446" xr:uid="{D5A0F440-E2C1-42C3-AA08-F8C78AF7C7DD}"/>
    <cellStyle name="Normal 17 2 2 3 3" xfId="1330" xr:uid="{EFB53BCB-A63D-4239-9B75-96911782A9D1}"/>
    <cellStyle name="Normal 17 2 2 3 4" xfId="1094" xr:uid="{09291D5B-5481-449F-8581-C71B007BA015}"/>
    <cellStyle name="Normal 17 2 2 4" xfId="952" xr:uid="{8F89E512-C697-4EB4-87D5-E20F9B8BE6C5}"/>
    <cellStyle name="Normal 17 2 2 4 2" xfId="1394" xr:uid="{62905811-7623-43EC-AF28-3997FF25E1B7}"/>
    <cellStyle name="Normal 17 2 2 4 3" xfId="1161" xr:uid="{3AE1D3FA-E391-429C-90E3-243DA4DA4CD5}"/>
    <cellStyle name="Normal 17 2 2 5" xfId="1278" xr:uid="{A06D7E4B-18CC-401C-AEF8-F55BE35F20AC}"/>
    <cellStyle name="Normal 17 2 2 6" xfId="1041" xr:uid="{B0335D1D-3383-4AB6-96D4-2C6755759FB6}"/>
    <cellStyle name="Normal 17 2 3" xfId="728" xr:uid="{A5C8C1FC-D8A5-4ABB-8CDB-365D53932044}"/>
    <cellStyle name="Normal 17 2 3 2" xfId="765" xr:uid="{13DD6223-EC1E-44C1-BE8B-37BF2213068C}"/>
    <cellStyle name="Normal 17 2 3 2 2" xfId="920" xr:uid="{337F0F65-7E7A-4069-9F28-F9B76104CDC2}"/>
    <cellStyle name="Normal 17 2 3 2 2 2" xfId="1251" xr:uid="{353A8B5D-C86D-4FD6-A322-69D8086D1BFB}"/>
    <cellStyle name="Normal 17 2 3 2 2 2 2" xfId="1484" xr:uid="{E73AC069-ADB5-42A5-8BED-1D1260F38E0E}"/>
    <cellStyle name="Normal 17 2 3 2 2 3" xfId="1368" xr:uid="{6756039F-96D3-4FF1-9D9A-6916EF4C2BC6}"/>
    <cellStyle name="Normal 17 2 3 2 2 4" xfId="1132" xr:uid="{4456BF40-DE8B-4B1C-8F07-6B5E8CFBFEF9}"/>
    <cellStyle name="Normal 17 2 3 2 3" xfId="990" xr:uid="{4B4725F8-97A7-4550-A7FD-7674EE55DECC}"/>
    <cellStyle name="Normal 17 2 3 2 3 2" xfId="1428" xr:uid="{2FBD4D6E-89E2-432B-AA58-37C443125F2A}"/>
    <cellStyle name="Normal 17 2 3 2 3 3" xfId="1195" xr:uid="{F2302B83-FA35-49F4-B655-6E419E2C146C}"/>
    <cellStyle name="Normal 17 2 3 2 4" xfId="1312" xr:uid="{03BBE647-9889-45E6-8EDE-22D34B532DF4}"/>
    <cellStyle name="Normal 17 2 3 2 5" xfId="1075" xr:uid="{37D26FD2-B030-409E-BC75-B9C9BE9031CB}"/>
    <cellStyle name="Normal 17 2 3 3" xfId="887" xr:uid="{E04AE7F0-ABAA-4296-B02E-E4974C8BF1BA}"/>
    <cellStyle name="Normal 17 2 3 3 2" xfId="1221" xr:uid="{C7C0A8C4-46E2-437A-A238-16A07BA036ED}"/>
    <cellStyle name="Normal 17 2 3 3 2 2" xfId="1454" xr:uid="{610FF6C8-6014-406B-BC99-69F61A1BBAE7}"/>
    <cellStyle name="Normal 17 2 3 3 3" xfId="1338" xr:uid="{24C071E4-3A93-46B3-94AF-F09564D638C2}"/>
    <cellStyle name="Normal 17 2 3 3 4" xfId="1102" xr:uid="{6BCB2BAD-477D-4DBB-9EE6-BE5C5ED5802B}"/>
    <cellStyle name="Normal 17 2 3 4" xfId="960" xr:uid="{FB8C2E85-0E24-45B3-B267-1EEC5CA239CF}"/>
    <cellStyle name="Normal 17 2 3 4 2" xfId="1402" xr:uid="{BD38EF6A-752D-400D-BC68-CCF1F161F409}"/>
    <cellStyle name="Normal 17 2 3 4 3" xfId="1169" xr:uid="{5893B61A-AAF4-43D7-817D-BAAFB720A6EC}"/>
    <cellStyle name="Normal 17 2 3 5" xfId="1286" xr:uid="{014A2F42-A31D-488D-BC4B-F5406149A7EA}"/>
    <cellStyle name="Normal 17 2 3 6" xfId="1049" xr:uid="{88F855C4-35BA-403E-B11A-3CE533AF9D05}"/>
    <cellStyle name="Normal 17 2 4" xfId="749" xr:uid="{3620A05B-98C5-43C6-9109-9F78263B8D89}"/>
    <cellStyle name="Normal 17 2 4 2" xfId="904" xr:uid="{8FA468AB-59EE-4DBE-9073-AB6ACC11F80F}"/>
    <cellStyle name="Normal 17 2 4 2 2" xfId="1235" xr:uid="{FFC613AE-E90A-408D-AC26-98D373A92CF0}"/>
    <cellStyle name="Normal 17 2 4 2 2 2" xfId="1468" xr:uid="{F4A75714-AC0B-4520-B5EF-338128CCE0F1}"/>
    <cellStyle name="Normal 17 2 4 2 3" xfId="1352" xr:uid="{6F86C44D-248C-47A5-BF71-384E7AB9F270}"/>
    <cellStyle name="Normal 17 2 4 2 4" xfId="1116" xr:uid="{C0A56955-4A7A-43FE-A985-1A486B07AA09}"/>
    <cellStyle name="Normal 17 2 4 3" xfId="974" xr:uid="{E07C0DBA-0A41-4290-8C7D-0005CEEF785B}"/>
    <cellStyle name="Normal 17 2 4 3 2" xfId="1386" xr:uid="{BCC36A8E-574A-469C-801E-52339ADF5917}"/>
    <cellStyle name="Normal 17 2 4 3 3" xfId="1153" xr:uid="{F0987453-FE76-41F8-B449-6AAD9F2CD659}"/>
    <cellStyle name="Normal 17 2 4 4" xfId="1270" xr:uid="{9FEBB37E-357F-455A-BEF0-719929976BF5}"/>
    <cellStyle name="Normal 17 2 4 5" xfId="1033" xr:uid="{4615AA88-DC6E-4468-A058-078599A32863}"/>
    <cellStyle name="Normal 17 2 5" xfId="868" xr:uid="{DD595C49-348E-40B5-AF66-7185CB735A47}"/>
    <cellStyle name="Normal 17 2 5 2" xfId="1179" xr:uid="{85575C0E-CFFB-44B5-B935-E86718699990}"/>
    <cellStyle name="Normal 17 2 5 2 2" xfId="1412" xr:uid="{5667843E-41FE-4245-BBAC-FC7BF7B4AFB1}"/>
    <cellStyle name="Normal 17 2 5 3" xfId="1296" xr:uid="{157B2810-8A51-4642-8977-37F15DA19DEF}"/>
    <cellStyle name="Normal 17 2 5 4" xfId="1059" xr:uid="{20F594DB-88CD-46CD-BEA6-662207481C20}"/>
    <cellStyle name="Normal 17 2 6" xfId="944" xr:uid="{AA5B70BC-C7AB-4483-8E85-6EF4B06EDA7D}"/>
    <cellStyle name="Normal 17 2 6 2" xfId="1205" xr:uid="{A522744E-6128-4326-ABDE-67EDC8A47D64}"/>
    <cellStyle name="Normal 17 2 6 2 2" xfId="1438" xr:uid="{52E2928F-B969-4ECA-975A-E325E67F422E}"/>
    <cellStyle name="Normal 17 2 6 3" xfId="1322" xr:uid="{CE4E576F-6AC8-406F-AD31-EBBC5BDF9071}"/>
    <cellStyle name="Normal 17 2 6 4" xfId="1086" xr:uid="{9D5AA504-4ECE-4186-B183-083996743460}"/>
    <cellStyle name="Normal 17 2 7" xfId="1146" xr:uid="{D3EBE66E-40A4-4180-8BA8-68688CEA24BE}"/>
    <cellStyle name="Normal 17 2 7 2" xfId="1379" xr:uid="{7256A73C-A3E1-4713-8FAF-A9C3A42D5B6D}"/>
    <cellStyle name="Normal 17 2 8" xfId="1263" xr:uid="{1F819A75-CA1B-48DC-8079-05677AE1A6E4}"/>
    <cellStyle name="Normal 17 2 9" xfId="1026" xr:uid="{8F222D93-5250-4C15-A997-2EF0D52B852C}"/>
    <cellStyle name="Normal 17 3" xfId="693" xr:uid="{68935E0D-1D5C-4414-8497-28224F03542D}"/>
    <cellStyle name="Normal 17 3 2" xfId="746" xr:uid="{206CDE47-5A3E-423C-A9C3-7B81011D390F}"/>
    <cellStyle name="Normal 17 3 2 2" xfId="901" xr:uid="{4C8DF936-1C1D-4E51-B2E9-F0007B05ACA8}"/>
    <cellStyle name="Normal 17 3 2 2 2" xfId="1232" xr:uid="{8DB694D3-9CD5-4F14-AEB9-FD83367C156C}"/>
    <cellStyle name="Normal 17 3 2 2 2 2" xfId="1465" xr:uid="{42B57218-640D-48F4-975D-DBA82F606C0C}"/>
    <cellStyle name="Normal 17 3 2 2 3" xfId="1349" xr:uid="{08C15CB4-F96C-44B2-BA2F-F254F0255E97}"/>
    <cellStyle name="Normal 17 3 2 2 4" xfId="1113" xr:uid="{698B24CD-66FD-4E57-A84E-E77E663D8542}"/>
    <cellStyle name="Normal 17 3 2 3" xfId="971" xr:uid="{16E6F15B-4210-41DB-B163-B7A34BD63DEB}"/>
    <cellStyle name="Normal 17 3 2 3 2" xfId="1409" xr:uid="{B452BCB9-47C5-459F-A327-3EA043FEA36B}"/>
    <cellStyle name="Normal 17 3 2 3 3" xfId="1176" xr:uid="{ADC19205-746F-4D16-90D9-8DCF15CFD2D9}"/>
    <cellStyle name="Normal 17 3 2 4" xfId="1293" xr:uid="{847C85AA-4340-4C83-B5FC-2DC2B5EF0FBA}"/>
    <cellStyle name="Normal 17 3 2 5" xfId="1056" xr:uid="{59588DBB-D53C-422A-86E6-D973A2EFC67D}"/>
    <cellStyle name="Normal 17 3 3" xfId="862" xr:uid="{E821CCC4-2ED2-48AF-9BE5-9DEDE9BBAA13}"/>
    <cellStyle name="Normal 17 3 3 2" xfId="1202" xr:uid="{88B82FD4-9A99-49FD-B21F-689F1DF79D8C}"/>
    <cellStyle name="Normal 17 3 3 2 2" xfId="1435" xr:uid="{EF2E9229-CECC-4276-BAEE-8672D79758B7}"/>
    <cellStyle name="Normal 17 3 3 3" xfId="1319" xr:uid="{9C8A78C1-845A-4F29-AF1D-56911F602A99}"/>
    <cellStyle name="Normal 17 3 3 4" xfId="1083" xr:uid="{FB019EEA-7D0A-469F-BC6A-1285D612795D}"/>
    <cellStyle name="Normal 17 3 4" xfId="941" xr:uid="{52867957-FFF7-48B6-9B17-A989E6C8A0B2}"/>
    <cellStyle name="Normal 17 3 4 2" xfId="1383" xr:uid="{C48C4861-227D-4B95-85DE-E4C0370B926D}"/>
    <cellStyle name="Normal 17 3 4 3" xfId="1150" xr:uid="{5EFD09B4-E4D0-46F5-90C6-E375600417DC}"/>
    <cellStyle name="Normal 17 3 5" xfId="1267" xr:uid="{62979EED-BD06-46FB-9101-F36E293C0670}"/>
    <cellStyle name="Normal 17 3 6" xfId="1030" xr:uid="{6F40A419-61CA-4C7F-95CA-044B2716B425}"/>
    <cellStyle name="Normal 17 4" xfId="717" xr:uid="{35F0E75A-F324-441A-B6E2-1D0F2335A49B}"/>
    <cellStyle name="Normal 17 4 2" xfId="754" xr:uid="{25264894-6F5F-4DDE-B8F2-8D17C95AA2E7}"/>
    <cellStyle name="Normal 17 4 2 2" xfId="909" xr:uid="{8EEB88AF-EFBC-4D1C-9C5D-E3D185023C8E}"/>
    <cellStyle name="Normal 17 4 2 2 2" xfId="1240" xr:uid="{6F9D1665-4F6D-4EA6-A822-014B836AA3C7}"/>
    <cellStyle name="Normal 17 4 2 2 2 2" xfId="1473" xr:uid="{CD23C841-4A82-4FC3-803B-E1D1DAB2CD2B}"/>
    <cellStyle name="Normal 17 4 2 2 3" xfId="1357" xr:uid="{220BA773-23DF-433E-922E-C9B85B8C8E05}"/>
    <cellStyle name="Normal 17 4 2 2 4" xfId="1121" xr:uid="{865E67F9-CBCC-42D3-9CAF-E63504F7A099}"/>
    <cellStyle name="Normal 17 4 2 3" xfId="979" xr:uid="{8E203D50-73A4-4CF3-8509-EADCB9D4FC31}"/>
    <cellStyle name="Normal 17 4 2 3 2" xfId="1417" xr:uid="{86509580-1F4F-4EAE-9176-4D556341A209}"/>
    <cellStyle name="Normal 17 4 2 3 3" xfId="1184" xr:uid="{E0474D88-2F72-4786-A49E-55F57A32B388}"/>
    <cellStyle name="Normal 17 4 2 4" xfId="1301" xr:uid="{5324FA6F-2DB8-4E3B-BC31-CEEF42E0E3CB}"/>
    <cellStyle name="Normal 17 4 2 5" xfId="1064" xr:uid="{6C4E3330-023B-4453-91BA-B4B6E22DC740}"/>
    <cellStyle name="Normal 17 4 3" xfId="876" xr:uid="{1592777B-A6B4-4F98-8804-6D326395896C}"/>
    <cellStyle name="Normal 17 4 3 2" xfId="1210" xr:uid="{2FD04ACF-6506-4C5D-89DD-748D25DD653A}"/>
    <cellStyle name="Normal 17 4 3 2 2" xfId="1443" xr:uid="{2F2BCFFD-A177-4BBA-AE1F-484628EE067D}"/>
    <cellStyle name="Normal 17 4 3 3" xfId="1327" xr:uid="{42995D10-73E0-49A5-9C20-F37A7928C69F}"/>
    <cellStyle name="Normal 17 4 3 4" xfId="1091" xr:uid="{177943BF-07D7-4559-97FC-3BA18A03138C}"/>
    <cellStyle name="Normal 17 4 4" xfId="949" xr:uid="{DFC7FAE4-3643-41C2-94B8-F090B0519A05}"/>
    <cellStyle name="Normal 17 4 4 2" xfId="1391" xr:uid="{CC7678E2-BDF9-468F-BB28-05D2134E690B}"/>
    <cellStyle name="Normal 17 4 4 3" xfId="1158" xr:uid="{4F1766F4-C329-4FBB-A0C1-7155F5D19FE0}"/>
    <cellStyle name="Normal 17 4 5" xfId="1275" xr:uid="{C8534591-2672-4F75-B65B-7DD9E55B5E39}"/>
    <cellStyle name="Normal 17 4 6" xfId="1038" xr:uid="{77F65398-7BD2-4D4F-BF5A-58102FBB3652}"/>
    <cellStyle name="Normal 17 5" xfId="725" xr:uid="{A24DFF2F-6B8A-4767-997E-88A4AFDD2B85}"/>
    <cellStyle name="Normal 17 5 2" xfId="762" xr:uid="{75CF2383-B76B-4F21-8C17-A0D363E7C3DF}"/>
    <cellStyle name="Normal 17 5 2 2" xfId="917" xr:uid="{ADEBF3E4-E659-4346-8FAE-A828D31F6B43}"/>
    <cellStyle name="Normal 17 5 2 2 2" xfId="1248" xr:uid="{F57928BE-4B83-4A2E-98F1-DB72774D2E88}"/>
    <cellStyle name="Normal 17 5 2 2 2 2" xfId="1481" xr:uid="{2FAD08A2-5C61-45BE-A519-528B62B00B02}"/>
    <cellStyle name="Normal 17 5 2 2 3" xfId="1365" xr:uid="{8B81E238-58EE-45FC-87B8-4D04211DF775}"/>
    <cellStyle name="Normal 17 5 2 2 4" xfId="1129" xr:uid="{97879DD8-2561-4A7A-B6EB-E2414F87926A}"/>
    <cellStyle name="Normal 17 5 2 3" xfId="987" xr:uid="{11F9E366-F13C-4D97-AB0F-D9FB3F32ABC9}"/>
    <cellStyle name="Normal 17 5 2 3 2" xfId="1425" xr:uid="{3E928DE1-B53B-48EF-BA4E-E7A6DD4D737F}"/>
    <cellStyle name="Normal 17 5 2 3 3" xfId="1192" xr:uid="{9FEA8468-90DD-4247-89AA-16FEA54D859D}"/>
    <cellStyle name="Normal 17 5 2 4" xfId="1309" xr:uid="{B43775D6-0ED0-41A4-99D6-150F2F2CC7CB}"/>
    <cellStyle name="Normal 17 5 2 5" xfId="1072" xr:uid="{3F5DC931-95AF-40DD-91E6-BA2EDC3555A9}"/>
    <cellStyle name="Normal 17 5 3" xfId="884" xr:uid="{163864C0-9935-40BE-A215-A01A44F0F7B6}"/>
    <cellStyle name="Normal 17 5 3 2" xfId="1218" xr:uid="{5FB9DEAE-FFF5-4FD2-BAAA-4B6F35C26FE0}"/>
    <cellStyle name="Normal 17 5 3 2 2" xfId="1451" xr:uid="{DE1A967D-9801-4126-AA85-5C8D923D3368}"/>
    <cellStyle name="Normal 17 5 3 3" xfId="1335" xr:uid="{5782A3BC-0B11-47DB-A211-BA8AD8F7FA2C}"/>
    <cellStyle name="Normal 17 5 3 4" xfId="1099" xr:uid="{B7E96E4C-FB8D-4B95-A3B1-62B343EDACF1}"/>
    <cellStyle name="Normal 17 5 4" xfId="957" xr:uid="{EC4AF60B-D2FC-4643-95C3-FEDD34ED0D2F}"/>
    <cellStyle name="Normal 17 5 4 2" xfId="1399" xr:uid="{92A4151B-4D7B-4769-8D96-4EB63D0EA207}"/>
    <cellStyle name="Normal 17 5 4 3" xfId="1166" xr:uid="{067C92E1-A9CF-43C1-BD13-690C7944B320}"/>
    <cellStyle name="Normal 17 5 5" xfId="1283" xr:uid="{065AFA6A-A4F8-464A-9C88-74A22307F767}"/>
    <cellStyle name="Normal 17 5 6" xfId="1046" xr:uid="{4700386D-A247-4FD2-B19D-0B1EA4B0E255}"/>
    <cellStyle name="Normal 17 6" xfId="743" xr:uid="{A4540657-B022-4F85-AFC4-A340C870A792}"/>
    <cellStyle name="Normal 17 6 2" xfId="898" xr:uid="{7A42F428-6670-4A18-BB59-CAFEFAE0DE1A}"/>
    <cellStyle name="Normal 17 6 2 2" xfId="1230" xr:uid="{67370C1E-DAD0-487F-B6E6-B41F8D1B508C}"/>
    <cellStyle name="Normal 17 6 2 2 2" xfId="1463" xr:uid="{0CF29D3F-9D6B-4765-B508-332F6BEE3D7D}"/>
    <cellStyle name="Normal 17 6 2 3" xfId="1347" xr:uid="{1E92CFAF-5D1E-43E9-9250-8BA75DEB512A}"/>
    <cellStyle name="Normal 17 6 2 4" xfId="1111" xr:uid="{4D229EF9-1901-4FC3-865F-ABAFD90C1AA5}"/>
    <cellStyle name="Normal 17 6 3" xfId="969" xr:uid="{EE84494F-BDA9-4741-98DD-9C7ED8C29EF0}"/>
    <cellStyle name="Normal 17 6 3 2" xfId="1381" xr:uid="{5D7C942F-AA4C-4336-B1FD-810FF7D084B2}"/>
    <cellStyle name="Normal 17 6 3 3" xfId="1148" xr:uid="{42620923-1847-4C00-9464-5952F4800321}"/>
    <cellStyle name="Normal 17 6 4" xfId="1265" xr:uid="{B873A1EC-0097-40D5-83B2-AF5FC909A94A}"/>
    <cellStyle name="Normal 17 6 5" xfId="1028" xr:uid="{AC834ABA-6672-425E-9FA4-10EBC7E2196A}"/>
    <cellStyle name="Normal 17 7" xfId="849" xr:uid="{34B84DEA-A298-4EA0-A7A7-95D392CD29F1}"/>
    <cellStyle name="Normal 17 7 2" xfId="1174" xr:uid="{04B7D608-EB86-4A13-9654-42CD872B979A}"/>
    <cellStyle name="Normal 17 7 2 2" xfId="1407" xr:uid="{1956920F-67E2-4BC9-B803-A34B5EA324CA}"/>
    <cellStyle name="Normal 17 7 3" xfId="1291" xr:uid="{B5DCE034-9942-40F8-98A6-73AEE4016414}"/>
    <cellStyle name="Normal 17 7 4" xfId="1054" xr:uid="{26FCC237-0C2F-4CB3-891B-D0324D0D6621}"/>
    <cellStyle name="Normal 17 8" xfId="938" xr:uid="{863D58B4-67A7-46A3-BE9F-33041A17C191}"/>
    <cellStyle name="Normal 17 8 2" xfId="1200" xr:uid="{90782097-25FB-4664-8A77-EEB7A3B6145A}"/>
    <cellStyle name="Normal 17 8 2 2" xfId="1433" xr:uid="{1119AC7F-CA67-43C1-9456-F7C030F2D556}"/>
    <cellStyle name="Normal 17 8 3" xfId="1317" xr:uid="{C5BD4232-BB8B-4895-BB9E-4F56BDC4CF17}"/>
    <cellStyle name="Normal 17 8 4" xfId="1081" xr:uid="{3D464836-DDE2-40A4-9965-B5AB95DD4544}"/>
    <cellStyle name="Normal 17 9" xfId="1141" xr:uid="{27FF594B-3426-4334-AC30-72A95E6ED509}"/>
    <cellStyle name="Normal 17 9 2" xfId="1376" xr:uid="{B677D755-B870-4A19-9DF0-7951320D29DD}"/>
    <cellStyle name="Normal 18" xfId="620" xr:uid="{09A9475D-00B9-41C7-B868-A5CF0338B76F}"/>
    <cellStyle name="Normal 19" xfId="621" xr:uid="{B973DB66-FA23-46B4-9FF6-CA79D11B2E33}"/>
    <cellStyle name="Normal 19 2" xfId="704" xr:uid="{225131FA-D994-4E42-B7C9-15F0E63BA725}"/>
    <cellStyle name="Normal 19 3" xfId="694" xr:uid="{36CABFBA-090E-429A-8EB8-9CF02AE4E5D3}"/>
    <cellStyle name="Normal 2" xfId="4" xr:uid="{00000000-0005-0000-0000-00004A000000}"/>
    <cellStyle name="Normal 2 2" xfId="75" xr:uid="{00000000-0005-0000-0000-00004B000000}"/>
    <cellStyle name="Normal 2 2 10" xfId="705" xr:uid="{CA1BBAB5-9838-44F4-A3C7-C547B1B82236}"/>
    <cellStyle name="Normal 2 2 2" xfId="721" xr:uid="{81119045-5A70-4725-8384-9E5E44ABD044}"/>
    <cellStyle name="Normal 2 2 2 2" xfId="758" xr:uid="{72174117-546D-4704-8FF4-6D5F2A81DA61}"/>
    <cellStyle name="Normal 2 2 2 2 2" xfId="913" xr:uid="{0C582D7A-694B-42A9-9C38-109820C7D571}"/>
    <cellStyle name="Normal 2 2 2 2 2 2" xfId="1244" xr:uid="{077F67D4-A6C7-4473-A2D1-2FA00BAB1F66}"/>
    <cellStyle name="Normal 2 2 2 2 2 2 2" xfId="1477" xr:uid="{F38D73C5-9CB3-46AE-8555-C3D428026777}"/>
    <cellStyle name="Normal 2 2 2 2 2 3" xfId="1361" xr:uid="{4BBE02DC-4C8E-41F1-9740-627396D6E249}"/>
    <cellStyle name="Normal 2 2 2 2 2 4" xfId="1125" xr:uid="{022ABC52-05D5-4556-9219-79815A02FCBB}"/>
    <cellStyle name="Normal 2 2 2 2 3" xfId="983" xr:uid="{8BE6A34C-EAF3-4C95-A4BD-FE3EF66F6588}"/>
    <cellStyle name="Normal 2 2 2 2 3 2" xfId="1421" xr:uid="{1C613E25-3945-4ED8-AF2F-7A5E9BEF855D}"/>
    <cellStyle name="Normal 2 2 2 2 3 3" xfId="1188" xr:uid="{5EABED71-0C03-45DF-9FAE-79C064ED7440}"/>
    <cellStyle name="Normal 2 2 2 2 4" xfId="1305" xr:uid="{6EE571EA-39CF-4979-8AF0-2B337C76DAFD}"/>
    <cellStyle name="Normal 2 2 2 2 5" xfId="1068" xr:uid="{A2199429-685F-4F4C-AA7D-FC1057DD5885}"/>
    <cellStyle name="Normal 2 2 2 3" xfId="880" xr:uid="{6AA8A082-7AFA-4A11-A3F6-3B5FC3B71A4F}"/>
    <cellStyle name="Normal 2 2 2 3 2" xfId="1214" xr:uid="{FAFDC8D5-1C87-419B-9E9A-E03BF6995A88}"/>
    <cellStyle name="Normal 2 2 2 3 2 2" xfId="1447" xr:uid="{7655CE8C-3B8C-44AF-9C50-EEE8829E1B66}"/>
    <cellStyle name="Normal 2 2 2 3 3" xfId="1331" xr:uid="{4674F0CB-21D6-41E7-8B82-7F0E14278A38}"/>
    <cellStyle name="Normal 2 2 2 3 4" xfId="1095" xr:uid="{DD327DFF-F19A-4E2E-BE46-8FAC7FE49EC6}"/>
    <cellStyle name="Normal 2 2 2 4" xfId="953" xr:uid="{9DBE9E37-E803-4CBA-8F1B-10E7C19DBADD}"/>
    <cellStyle name="Normal 2 2 2 4 2" xfId="1395" xr:uid="{E70F19D2-AB14-451B-B5CD-82C50138C78F}"/>
    <cellStyle name="Normal 2 2 2 4 3" xfId="1162" xr:uid="{75E2EDE9-F4BD-4E39-AD96-7762D6DB71DB}"/>
    <cellStyle name="Normal 2 2 2 5" xfId="1279" xr:uid="{3E25AA25-8913-46C9-B689-C4FA6F331DFA}"/>
    <cellStyle name="Normal 2 2 2 6" xfId="1042" xr:uid="{5916A03E-A346-4288-B952-171E8A3E873C}"/>
    <cellStyle name="Normal 2 2 3" xfId="729" xr:uid="{5BDCD611-EE52-4191-A0FF-979F64C33CE7}"/>
    <cellStyle name="Normal 2 2 3 2" xfId="766" xr:uid="{7DB5C444-4376-462B-A22B-49898CA5BAA2}"/>
    <cellStyle name="Normal 2 2 3 2 2" xfId="921" xr:uid="{971C25AF-0870-44E1-B9CD-91DB230146E1}"/>
    <cellStyle name="Normal 2 2 3 2 2 2" xfId="1252" xr:uid="{47E5B946-CB13-4F41-89B4-499E5B9ED1CB}"/>
    <cellStyle name="Normal 2 2 3 2 2 2 2" xfId="1485" xr:uid="{B39FC8D3-28A8-4C73-BE1C-E8F278F86545}"/>
    <cellStyle name="Normal 2 2 3 2 2 3" xfId="1369" xr:uid="{5A436301-99CA-4528-962C-32004EB383A5}"/>
    <cellStyle name="Normal 2 2 3 2 2 4" xfId="1133" xr:uid="{CC378B41-ECE0-4D32-A8FF-732A3010345A}"/>
    <cellStyle name="Normal 2 2 3 2 3" xfId="991" xr:uid="{3300C1A9-2DD4-45B9-933F-C71F262FEE86}"/>
    <cellStyle name="Normal 2 2 3 2 3 2" xfId="1429" xr:uid="{EFBCE65B-5044-4357-A2EE-474FF6DD7698}"/>
    <cellStyle name="Normal 2 2 3 2 3 3" xfId="1196" xr:uid="{C9E52917-7157-4F83-AC0F-2D69E873B98D}"/>
    <cellStyle name="Normal 2 2 3 2 4" xfId="1313" xr:uid="{F83E3E6B-7162-427D-A2AF-256B98FFFFD0}"/>
    <cellStyle name="Normal 2 2 3 2 5" xfId="1076" xr:uid="{89D981D5-1E03-4E3B-B829-5FD43A7CE54D}"/>
    <cellStyle name="Normal 2 2 3 3" xfId="888" xr:uid="{5C137E0E-2634-4791-A619-089A80E8A734}"/>
    <cellStyle name="Normal 2 2 3 3 2" xfId="1222" xr:uid="{D575FA7D-06C1-4407-BED9-A03937FF2D5B}"/>
    <cellStyle name="Normal 2 2 3 3 2 2" xfId="1455" xr:uid="{952CCB6E-E946-4D79-8B84-B40AE0449FB9}"/>
    <cellStyle name="Normal 2 2 3 3 3" xfId="1339" xr:uid="{98994242-29FA-4237-9FD3-6393E280C930}"/>
    <cellStyle name="Normal 2 2 3 3 4" xfId="1103" xr:uid="{D2BEC730-BEAA-4F5F-B460-7B29AB48361E}"/>
    <cellStyle name="Normal 2 2 3 4" xfId="961" xr:uid="{491A03AB-82B4-422B-88B9-9A915CD6F0FF}"/>
    <cellStyle name="Normal 2 2 3 4 2" xfId="1403" xr:uid="{852C08CE-94B0-4E50-A4F5-0ACBDFEF0CFD}"/>
    <cellStyle name="Normal 2 2 3 4 3" xfId="1170" xr:uid="{9C3885E1-066A-4562-845E-5718110E0644}"/>
    <cellStyle name="Normal 2 2 3 5" xfId="1287" xr:uid="{76B3816F-B917-4295-8E8B-EBBEDBDFF6A2}"/>
    <cellStyle name="Normal 2 2 3 6" xfId="1050" xr:uid="{8DC77C8C-D4A5-48D2-8A41-7AB28EE08B4A}"/>
    <cellStyle name="Normal 2 2 4" xfId="750" xr:uid="{D441E215-E076-49B4-AE91-D71CE69118C7}"/>
    <cellStyle name="Normal 2 2 4 2" xfId="905" xr:uid="{B4BF33B0-A35D-41DB-88A4-A40A227B8128}"/>
    <cellStyle name="Normal 2 2 4 2 2" xfId="1236" xr:uid="{FF85D3D6-7CAC-4208-AEBA-605FC2700B14}"/>
    <cellStyle name="Normal 2 2 4 2 2 2" xfId="1469" xr:uid="{94AF6012-0CEF-41C2-8823-47C2F8676E27}"/>
    <cellStyle name="Normal 2 2 4 2 3" xfId="1353" xr:uid="{F68652A5-901F-4AAF-B36B-2B435ABC6F44}"/>
    <cellStyle name="Normal 2 2 4 2 4" xfId="1117" xr:uid="{763C6FE0-4B52-4C7A-A409-5FC2C65A5ED3}"/>
    <cellStyle name="Normal 2 2 4 3" xfId="975" xr:uid="{4EFB6F37-6FD4-4E78-AF45-8E51BA63D988}"/>
    <cellStyle name="Normal 2 2 4 3 2" xfId="1387" xr:uid="{3E3AB025-2811-4579-A30B-19E844F49AC5}"/>
    <cellStyle name="Normal 2 2 4 3 3" xfId="1154" xr:uid="{049912C6-3E80-4E6B-A150-8056E204EEFB}"/>
    <cellStyle name="Normal 2 2 4 4" xfId="1271" xr:uid="{3D78D77E-9A2F-4340-999B-9F401326FC1E}"/>
    <cellStyle name="Normal 2 2 4 5" xfId="1034" xr:uid="{648A0206-8C15-4EFC-A860-CFF636B8FC17}"/>
    <cellStyle name="Normal 2 2 5" xfId="869" xr:uid="{66A3480A-78C5-453B-9F10-540DBC43B4DF}"/>
    <cellStyle name="Normal 2 2 5 2" xfId="1180" xr:uid="{9ED73892-E0E0-4EB3-8700-F0A516FF5823}"/>
    <cellStyle name="Normal 2 2 5 2 2" xfId="1413" xr:uid="{2DCDB3B5-3B99-4F1C-82C1-7DC98D0CF14D}"/>
    <cellStyle name="Normal 2 2 5 3" xfId="1297" xr:uid="{5A0D06E8-8ACC-4875-9CE9-F2268D6C6651}"/>
    <cellStyle name="Normal 2 2 5 4" xfId="1060" xr:uid="{78493F0E-4902-4231-BB33-339A7026B37C}"/>
    <cellStyle name="Normal 2 2 6" xfId="945" xr:uid="{7F6590EE-9E2B-4222-8306-2E71B8A640C0}"/>
    <cellStyle name="Normal 2 2 6 2" xfId="1206" xr:uid="{03152B51-C091-49BC-B213-1F867D9BB45F}"/>
    <cellStyle name="Normal 2 2 6 2 2" xfId="1439" xr:uid="{BD8F962C-6F0B-42C4-818A-17AEBC707021}"/>
    <cellStyle name="Normal 2 2 6 3" xfId="1323" xr:uid="{3DA4F678-1861-4B1A-A97F-1A38C0D4D346}"/>
    <cellStyle name="Normal 2 2 6 4" xfId="1087" xr:uid="{0FD44BDA-0617-474B-980A-FC4115BFCA1F}"/>
    <cellStyle name="Normal 2 2 7" xfId="1144" xr:uid="{732CB926-CA48-43D8-8ED5-1EAEEFE07A55}"/>
    <cellStyle name="Normal 2 2 7 2" xfId="1377" xr:uid="{B4B0F0D8-9DD0-4FE8-B284-B03C330BE379}"/>
    <cellStyle name="Normal 2 2 8" xfId="1261" xr:uid="{C4A2DAD3-271A-4F32-8D36-F70E6A130CDD}"/>
    <cellStyle name="Normal 2 2 9" xfId="1023" xr:uid="{5C46BC3A-8350-4893-8274-380D32A67AD3}"/>
    <cellStyle name="Normal 2 3" xfId="736" xr:uid="{5D999D92-2638-4729-98F0-A4C5158AB11A}"/>
    <cellStyle name="Normal 2 4" xfId="796" xr:uid="{2F3DBAA9-94D0-4A22-BC64-D62E21FD8832}"/>
    <cellStyle name="Normal 2 5" xfId="622" xr:uid="{52236977-69EE-43CE-978C-781C2B31DF6B}"/>
    <cellStyle name="Normal 20" xfId="623" xr:uid="{8B19251C-5490-410D-B5FC-05DDFDB381FB}"/>
    <cellStyle name="Normal 21" xfId="706" xr:uid="{73936943-F6B4-4180-94F4-96D1E1525801}"/>
    <cellStyle name="Normal 22" xfId="732" xr:uid="{ECE93BD4-AAB9-4E01-9BC8-E553EAD11CA6}"/>
    <cellStyle name="Normal 22 2" xfId="740" xr:uid="{2C19312B-F0BD-48A8-AD4A-DCE66515DB63}"/>
    <cellStyle name="Normal 22 3" xfId="891" xr:uid="{848E9D7F-F877-40AE-A485-C2398A2606A8}"/>
    <cellStyle name="Normal 22 3 2" xfId="1458" xr:uid="{C37F1FC4-C87A-445C-AFAF-EEEC874C963F}"/>
    <cellStyle name="Normal 22 3 3" xfId="1225" xr:uid="{BBAB6D9F-8302-4C91-B202-8DB48F373F08}"/>
    <cellStyle name="Normal 22 4" xfId="964" xr:uid="{E8690419-9D5D-45F4-AA2F-45398A042D5B}"/>
    <cellStyle name="Normal 22 4 2" xfId="1342" xr:uid="{557109F6-5A9B-47CC-AC61-D1B850FF4E70}"/>
    <cellStyle name="Normal 22 5" xfId="1106" xr:uid="{8760330B-4CB1-4B35-A979-FFC0CB19D8CB}"/>
    <cellStyle name="Normal 23" xfId="737" xr:uid="{D262FC73-2B79-43E0-A9A3-3B4A1830FC31}"/>
    <cellStyle name="Normal 23 2" xfId="894" xr:uid="{29E72DC0-12C2-4E8E-8A71-1B9C79159BF4}"/>
    <cellStyle name="Normal 23 2 2" xfId="1459" xr:uid="{29B7CA17-14DB-4D2A-84CD-C618F9CB2038}"/>
    <cellStyle name="Normal 23 2 3" xfId="1226" xr:uid="{065EE220-D577-49E6-BE90-5A71E2BF8A48}"/>
    <cellStyle name="Normal 23 3" xfId="965" xr:uid="{B39082DB-010D-4A23-8DE1-FBA352901F86}"/>
    <cellStyle name="Normal 23 3 2" xfId="1343" xr:uid="{B0E63C77-E165-4CE6-876C-E9C1E79155CD}"/>
    <cellStyle name="Normal 23 4" xfId="1107" xr:uid="{ACA2EA91-9CEE-4C60-A69A-050B08813299}"/>
    <cellStyle name="Normal 24" xfId="924" xr:uid="{31235064-FEE9-42F1-A8CD-4379E59DAE0B}"/>
    <cellStyle name="Normal 24 2" xfId="1138" xr:uid="{D501E2FD-CD72-4412-88EE-8F087D437134}"/>
    <cellStyle name="Normal 25" xfId="935" xr:uid="{139ABBEC-6429-4E74-9965-C58CC1601E8E}"/>
    <cellStyle name="Normal 25 2" xfId="1374" xr:uid="{A53E9708-A192-44B2-8E94-ABB8A267ED5C}"/>
    <cellStyle name="Normal 25 3" xfId="1137" xr:uid="{15A61BF5-5478-48F7-B307-4B6226F7FDED}"/>
    <cellStyle name="Normal 26" xfId="925" xr:uid="{8F86AA81-1B5B-4B8B-B2BD-5B9D903B78F6}"/>
    <cellStyle name="Normal 26 2" xfId="1256" xr:uid="{4B7D146E-FD15-47E7-BE08-3499F7960DD7}"/>
    <cellStyle name="Normal 27" xfId="931" xr:uid="{84BFC054-4661-4393-B984-77DB8F0E82AF}"/>
    <cellStyle name="Normal 28" xfId="936" xr:uid="{C800E3AB-A60F-47CA-9833-7A49F9B65DCA}"/>
    <cellStyle name="Normal 29" xfId="1006" xr:uid="{44E895C8-637A-4FCB-BE03-C15F1784E928}"/>
    <cellStyle name="Normal 3" xfId="11" xr:uid="{00000000-0005-0000-0000-00004C000000}"/>
    <cellStyle name="Normal 3 2" xfId="707" xr:uid="{D65206B1-1563-4F4F-BEFA-71E190E67CD7}"/>
    <cellStyle name="Normal 3 3" xfId="708" xr:uid="{9864E9AE-E37B-4FF2-A146-6D85B6CDD8FE}"/>
    <cellStyle name="Normal 3 3 2" xfId="701" xr:uid="{1D66177E-6151-41F7-B2EE-7C5EDFE1CB71}"/>
    <cellStyle name="Normal 3 4" xfId="733" xr:uid="{A7A7F0F3-8B89-4D5B-99DB-883CFA1B0AB8}"/>
    <cellStyle name="Normal 3 4 2" xfId="892" xr:uid="{DE4A5A07-29E1-4A94-BFB4-D1D13D27A01E}"/>
    <cellStyle name="Normal 3 5" xfId="799" xr:uid="{D84FD27D-4F8D-4E1F-872A-4A3BD1D16E5B}"/>
    <cellStyle name="Normal 3 6" xfId="999" xr:uid="{8202992F-BAF8-44F3-8D2C-7901D2C69288}"/>
    <cellStyle name="Normal 3 7" xfId="624" xr:uid="{CCA486E0-110F-48D0-96E3-E1B5723E5A1E}"/>
    <cellStyle name="Normal 30" xfId="1002" xr:uid="{D71AAE61-B41E-4E2E-8C79-22AC7024A045}"/>
    <cellStyle name="Normal 31" xfId="1489" xr:uid="{DDBCD9E8-0303-4EEC-9B9E-5EFF33963772}"/>
    <cellStyle name="Normal 32" xfId="1000" xr:uid="{C56C40F9-D546-4507-B411-55FF0568CD46}"/>
    <cellStyle name="Normal 33" xfId="1004" xr:uid="{27E7B7E6-176C-4087-A1AF-4428A5A31B76}"/>
    <cellStyle name="Normal 34" xfId="1014" xr:uid="{D5BF7374-D31F-4352-B495-27C26D6F44DF}"/>
    <cellStyle name="Normal 35" xfId="1498" xr:uid="{64B2E403-9017-4256-8729-C5DC6166F9E7}"/>
    <cellStyle name="Normal 36" xfId="1500" xr:uid="{36AD661F-D9FA-431A-B1C6-8F3411C2B1FB}"/>
    <cellStyle name="Normal 37" xfId="1502" xr:uid="{0CDBD015-684B-4EA7-BC9C-7C9A9885E122}"/>
    <cellStyle name="Normal 38" xfId="1504" xr:uid="{A30F1ED4-9DAE-4847-AC49-35B7B94C492E}"/>
    <cellStyle name="Normal 39" xfId="1506" xr:uid="{96FFF111-080E-4963-B1EE-62224FE61868}"/>
    <cellStyle name="Normal 4" xfId="76" xr:uid="{00000000-0005-0000-0000-00004D000000}"/>
    <cellStyle name="Normal 4 2" xfId="709" xr:uid="{81E4A1C3-85D5-4122-8A76-9BB54D819642}"/>
    <cellStyle name="Normal 4 3" xfId="838" xr:uid="{F8577DCA-F3CC-455B-9CE2-FD746A551677}"/>
    <cellStyle name="Normal 4 4" xfId="625" xr:uid="{8D21A86B-11FF-4EC6-BA39-8F59D63C9E59}"/>
    <cellStyle name="Normal 40" xfId="1508" xr:uid="{0678ED52-D772-40A4-A050-8422512AC453}"/>
    <cellStyle name="Normal 41" xfId="1510" xr:uid="{7DE8DAF9-80C6-450A-904E-7A79ED52CED1}"/>
    <cellStyle name="Normal 42" xfId="1512" xr:uid="{74D01AFB-BE4F-4FEF-9279-C38C89CBA31C}"/>
    <cellStyle name="Normal 43" xfId="1514" xr:uid="{F8035CA1-C432-45B1-B491-68C37027D628}"/>
    <cellStyle name="Normal 44" xfId="1516" xr:uid="{2A029B41-DE16-46A8-9636-243F012740C6}"/>
    <cellStyle name="Normal 45" xfId="1518" xr:uid="{6146693A-C26D-48DB-ABFB-A6180A76ED26}"/>
    <cellStyle name="Normal 46" xfId="1520" xr:uid="{6D70D31A-3CE0-457F-9352-EAD798906D71}"/>
    <cellStyle name="Normal 47" xfId="103" xr:uid="{07BB6707-B6DD-4770-B647-F614C56E2EBA}"/>
    <cellStyle name="Normal 5" xfId="77" xr:uid="{00000000-0005-0000-0000-00004E000000}"/>
    <cellStyle name="Normal 5 2" xfId="78" xr:uid="{00000000-0005-0000-0000-00004F000000}"/>
    <cellStyle name="Normal 5 2 2" xfId="1522" xr:uid="{4F6B48E3-82A2-4FB2-A4DA-88FF8A3F24DE}"/>
    <cellStyle name="Normal 5 2 3" xfId="79" xr:uid="{00000000-0005-0000-0000-000050000000}"/>
    <cellStyle name="Normal 5 2 3 2" xfId="97" xr:uid="{00000000-0005-0000-0000-000051000000}"/>
    <cellStyle name="Normal 5 2 3 3" xfId="100" xr:uid="{00000000-0005-0000-0000-000052000000}"/>
    <cellStyle name="Normal 5 2 4" xfId="844" xr:uid="{E5ED4AF3-FB2C-445E-AD98-836387592AA0}"/>
    <cellStyle name="Normal 5 3" xfId="840" xr:uid="{6F900A40-2CC6-4DF6-9E52-39DACFBB9333}"/>
    <cellStyle name="Normal 5 4" xfId="626" xr:uid="{1FAB166A-B1F1-49B7-9742-8EEB87263E54}"/>
    <cellStyle name="Normal 6" xfId="80" xr:uid="{00000000-0005-0000-0000-000053000000}"/>
    <cellStyle name="Normal 6 2" xfId="843" xr:uid="{213AA290-D736-4DDA-A4D4-2EF27A647389}"/>
    <cellStyle name="Normal 6 3" xfId="627" xr:uid="{4A26A58B-7FCB-41A0-981C-8E1A21369BCB}"/>
    <cellStyle name="Normal 7" xfId="81" xr:uid="{00000000-0005-0000-0000-000054000000}"/>
    <cellStyle name="Normal 7 2" xfId="628" xr:uid="{13E091AF-29C3-4863-8FB8-0E8A765159CD}"/>
    <cellStyle name="Normal 8" xfId="101" xr:uid="{947A62E7-9B13-4125-8F42-56423315674A}"/>
    <cellStyle name="Normal 8 2" xfId="629" xr:uid="{6582A769-8B2B-4D65-B887-379AD44BDFA1}"/>
    <cellStyle name="Normal 9" xfId="630" xr:uid="{1308C8C4-F275-4DBD-A9E8-E228AB03DA1C}"/>
    <cellStyle name="Note 10" xfId="631" xr:uid="{35EB5A95-A177-4B20-9CA8-FDBCC671FD84}"/>
    <cellStyle name="Note 11" xfId="632" xr:uid="{DD8908E4-84DE-45EA-B7BC-C557752625C8}"/>
    <cellStyle name="Note 12" xfId="633" xr:uid="{68F04D36-2740-4F78-83FA-8F74E024A676}"/>
    <cellStyle name="Note 13" xfId="634" xr:uid="{5D21E44C-0A5A-42B8-93C2-5BF90A920C88}"/>
    <cellStyle name="Note 14" xfId="635" xr:uid="{647CC37C-98B8-4CEF-BCF8-D50D5CDAC4E6}"/>
    <cellStyle name="Note 15" xfId="636" xr:uid="{CADABAD8-6058-424E-B810-088BEF2266A5}"/>
    <cellStyle name="Note 16" xfId="853" xr:uid="{F0178167-BA7F-43D7-A57C-AB12C251AE24}"/>
    <cellStyle name="Note 2" xfId="82" xr:uid="{00000000-0005-0000-0000-000055000000}"/>
    <cellStyle name="Note 2 2" xfId="811" xr:uid="{88EE9475-8459-4E92-B64E-E25ACC6A51C7}"/>
    <cellStyle name="Note 2 3" xfId="637" xr:uid="{CF50727E-2C77-407C-AC31-2D4DB5D30CFE}"/>
    <cellStyle name="Note 3" xfId="638" xr:uid="{19CEE5A5-BE22-42FF-910F-F069B3250C44}"/>
    <cellStyle name="Note 4" xfId="639" xr:uid="{7AAED23A-34C0-4215-94F7-C4B1D21960EC}"/>
    <cellStyle name="Note 5" xfId="640" xr:uid="{3103A930-B420-44AE-8895-D819302C9BDA}"/>
    <cellStyle name="Note 6" xfId="641" xr:uid="{C572E38B-6B5D-494E-8559-22C9EAB31C47}"/>
    <cellStyle name="Note 7" xfId="642" xr:uid="{3E7F198A-42F7-4B61-99ED-E2D3DCC08E12}"/>
    <cellStyle name="Note 8" xfId="643" xr:uid="{25454A26-39A3-4DBB-88AA-CA12323CA64D}"/>
    <cellStyle name="Note 9" xfId="644" xr:uid="{00A3A72B-FBB4-4FAD-806E-3FCEF69DB47B}"/>
    <cellStyle name="Output 10" xfId="645" xr:uid="{948DCE6F-F3AD-49C7-90BE-C0A77BA0A473}"/>
    <cellStyle name="Output 11" xfId="646" xr:uid="{41BB4598-CBAA-49B3-BCA1-F91656EA7BA5}"/>
    <cellStyle name="Output 12" xfId="647" xr:uid="{D44A6A04-6B8C-4AC3-8451-ACF4F4536437}"/>
    <cellStyle name="Output 13" xfId="648" xr:uid="{A1C840EB-126E-476B-9DB7-9F9FD513C45C}"/>
    <cellStyle name="Output 14" xfId="649" xr:uid="{209CA6CB-EBC5-4833-A448-26231E2C1D8F}"/>
    <cellStyle name="Output 15" xfId="650" xr:uid="{E30BF09A-1449-4208-A811-33F74229B6CB}"/>
    <cellStyle name="Output 16" xfId="850" xr:uid="{09A8C6D2-A18C-40CA-ADA3-B844F231D36B}"/>
    <cellStyle name="Output 2" xfId="83" xr:uid="{00000000-0005-0000-0000-000056000000}"/>
    <cellStyle name="Output 2 2" xfId="806" xr:uid="{868B9F9B-667E-4F4E-AC42-FC4F489CB68D}"/>
    <cellStyle name="Output 2 3" xfId="651" xr:uid="{B5A3D20B-4584-4D4F-B9C7-E8488A6C23BE}"/>
    <cellStyle name="Output 3" xfId="652" xr:uid="{06436D1D-8BB7-4628-9EA9-12D6FC22BB0A}"/>
    <cellStyle name="Output 4" xfId="653" xr:uid="{6FD8334D-DB5B-4630-81A8-BD868D298189}"/>
    <cellStyle name="Output 5" xfId="654" xr:uid="{1D3CCAC3-AAD0-459B-B647-1D3C3BE34F01}"/>
    <cellStyle name="Output 6" xfId="655" xr:uid="{26FD6B34-F510-4192-9020-53C7C8AA0209}"/>
    <cellStyle name="Output 7" xfId="656" xr:uid="{E462345A-6513-4121-9711-FF362BF6DCF1}"/>
    <cellStyle name="Output 8" xfId="657" xr:uid="{94957617-06E5-49AE-AB00-F8F922E700A8}"/>
    <cellStyle name="Output 9" xfId="658" xr:uid="{9DC6D9F4-C9EC-4F7E-B76A-0C28FDD3DEC9}"/>
    <cellStyle name="Percent" xfId="2" builtinId="5"/>
    <cellStyle name="Percent [2]" xfId="84" xr:uid="{00000000-0005-0000-0000-000058000000}"/>
    <cellStyle name="Percent 10" xfId="932" xr:uid="{FB1570F1-7578-4FAD-BB88-C18527592552}"/>
    <cellStyle name="Percent 11" xfId="939" xr:uid="{7AE6E81E-F411-42C0-A1D6-589223235D82}"/>
    <cellStyle name="Percent 12" xfId="1017" xr:uid="{13BBC6A7-4A41-4785-B24C-CEC1AD4782DA}"/>
    <cellStyle name="Percent 13" xfId="1001" xr:uid="{11B89A78-EBF2-4925-A9DD-72416425FF84}"/>
    <cellStyle name="Percent 14" xfId="1005" xr:uid="{315724E4-062B-4765-9C10-C07216F846DA}"/>
    <cellStyle name="Percent 15" xfId="994" xr:uid="{7DB09506-9926-4C30-A23C-6154A44DC063}"/>
    <cellStyle name="Percent 16" xfId="1490" xr:uid="{C4D6394C-3D02-4661-9E8C-77AA478929E7}"/>
    <cellStyle name="Percent 17" xfId="1010" xr:uid="{1F9FB357-76B2-48C6-9E1F-444336BFB2C0}"/>
    <cellStyle name="Percent 18" xfId="1019" xr:uid="{276BE303-10C9-4C7C-AD95-CCB0C7BDCA45}"/>
    <cellStyle name="Percent 19" xfId="996" xr:uid="{5CEBFF43-1967-4B66-A658-E098DB32EC52}"/>
    <cellStyle name="Percent 2" xfId="85" xr:uid="{00000000-0005-0000-0000-000059000000}"/>
    <cellStyle name="Percent 2 2" xfId="710" xr:uid="{5F566A33-788D-4491-BA80-85773E6ABBA7}"/>
    <cellStyle name="Percent 2 2 2" xfId="722" xr:uid="{BDD03D9D-A05C-45DE-B7D8-9F969CC45511}"/>
    <cellStyle name="Percent 2 2 2 2" xfId="759" xr:uid="{7D0A15BA-9EB9-4B73-89D5-75F2F55338A9}"/>
    <cellStyle name="Percent 2 2 2 2 2" xfId="914" xr:uid="{99B3F488-4664-4E01-BFAB-C0FABD9C30A8}"/>
    <cellStyle name="Percent 2 2 2 2 2 2" xfId="1245" xr:uid="{41688BAB-4B30-4E89-969D-FD0B5B4D6AEB}"/>
    <cellStyle name="Percent 2 2 2 2 2 2 2" xfId="1478" xr:uid="{AAD5EAEB-A357-42D6-86FB-6D478523F5C3}"/>
    <cellStyle name="Percent 2 2 2 2 2 3" xfId="1362" xr:uid="{0FB9F9BB-5D75-4020-82D7-2C4364DA421F}"/>
    <cellStyle name="Percent 2 2 2 2 2 4" xfId="1126" xr:uid="{EF1AA621-7718-46D6-AC53-D2FB3F60416D}"/>
    <cellStyle name="Percent 2 2 2 2 3" xfId="984" xr:uid="{B1F05F6C-B390-40EA-B343-C566D8DD604C}"/>
    <cellStyle name="Percent 2 2 2 2 3 2" xfId="1422" xr:uid="{BBD119E7-0FC4-4E68-B34A-A90D652EEE0C}"/>
    <cellStyle name="Percent 2 2 2 2 3 3" xfId="1189" xr:uid="{6C317745-1C34-4BBA-82D2-4F24D0D8C069}"/>
    <cellStyle name="Percent 2 2 2 2 4" xfId="1306" xr:uid="{8A14BC25-43A7-47D0-8C1C-78F2081802AB}"/>
    <cellStyle name="Percent 2 2 2 2 5" xfId="1069" xr:uid="{CB0CE082-3FD8-4C7A-BC45-D657324A4C73}"/>
    <cellStyle name="Percent 2 2 2 3" xfId="881" xr:uid="{79E3FAC0-D3ED-4B7C-8C40-AAF91A32B3F2}"/>
    <cellStyle name="Percent 2 2 2 3 2" xfId="1215" xr:uid="{16D41656-864B-4625-85C3-899CC98BD310}"/>
    <cellStyle name="Percent 2 2 2 3 2 2" xfId="1448" xr:uid="{E1453BE3-5FF1-4B5C-887E-F8C2872DC576}"/>
    <cellStyle name="Percent 2 2 2 3 3" xfId="1332" xr:uid="{C36D18BC-0C1A-4676-B3D9-8FEFF81F12E3}"/>
    <cellStyle name="Percent 2 2 2 3 4" xfId="1096" xr:uid="{E9D05171-8549-4045-95DE-D2677DB08E9D}"/>
    <cellStyle name="Percent 2 2 2 4" xfId="954" xr:uid="{2BC70880-FB56-4C6D-B3C1-D1D222A4FF4B}"/>
    <cellStyle name="Percent 2 2 2 4 2" xfId="1396" xr:uid="{DE582128-E9D5-4F43-923A-E3CD7F05F6D4}"/>
    <cellStyle name="Percent 2 2 2 4 3" xfId="1163" xr:uid="{FFC31374-59B4-461A-B16A-6A38C5AF4DCB}"/>
    <cellStyle name="Percent 2 2 2 5" xfId="1280" xr:uid="{BDB68D74-C350-4EDC-A83C-9006A8FA1F85}"/>
    <cellStyle name="Percent 2 2 2 6" xfId="1043" xr:uid="{F79B9E8B-24CA-419A-A2E1-D4C5134BA55B}"/>
    <cellStyle name="Percent 2 2 3" xfId="730" xr:uid="{F32A737C-2306-44ED-9157-B3D163846A14}"/>
    <cellStyle name="Percent 2 2 3 2" xfId="767" xr:uid="{E657F6D9-E0AA-4D8B-92C4-EABED89B476E}"/>
    <cellStyle name="Percent 2 2 3 2 2" xfId="922" xr:uid="{BC6D34E9-33EF-433C-902A-20A87DE028F5}"/>
    <cellStyle name="Percent 2 2 3 2 2 2" xfId="1253" xr:uid="{DC2D2E41-3FC5-4180-B6BA-4B927EA723B8}"/>
    <cellStyle name="Percent 2 2 3 2 2 2 2" xfId="1486" xr:uid="{4B7EA963-8402-4E59-8139-012705EA26BE}"/>
    <cellStyle name="Percent 2 2 3 2 2 3" xfId="1370" xr:uid="{A1B37527-05B3-46E3-A0A4-DAC5ABBF2FBF}"/>
    <cellStyle name="Percent 2 2 3 2 2 4" xfId="1134" xr:uid="{77B232BD-EF62-4D0A-B9C3-B0DF78598044}"/>
    <cellStyle name="Percent 2 2 3 2 3" xfId="992" xr:uid="{B690CDB8-EDC9-44D9-8D4E-39F1E9A35023}"/>
    <cellStyle name="Percent 2 2 3 2 3 2" xfId="1430" xr:uid="{08EEE802-44F5-4F43-96F8-92A9476EE4D6}"/>
    <cellStyle name="Percent 2 2 3 2 3 3" xfId="1197" xr:uid="{5C1C04E1-7084-4333-910C-D20285CC2BE5}"/>
    <cellStyle name="Percent 2 2 3 2 4" xfId="1314" xr:uid="{D823029D-21EE-41FC-B92C-38976A279C31}"/>
    <cellStyle name="Percent 2 2 3 2 5" xfId="1077" xr:uid="{955D8B21-0F5E-4361-8715-390646E07FE5}"/>
    <cellStyle name="Percent 2 2 3 3" xfId="889" xr:uid="{9EF5348F-4454-449B-89AE-C2C15C4F53A9}"/>
    <cellStyle name="Percent 2 2 3 3 2" xfId="1223" xr:uid="{558A92A8-DE44-42E9-911A-14AA6455D021}"/>
    <cellStyle name="Percent 2 2 3 3 2 2" xfId="1456" xr:uid="{B97C0724-5A35-409F-846A-809D6DF8C35E}"/>
    <cellStyle name="Percent 2 2 3 3 3" xfId="1340" xr:uid="{DC1F1817-3C6B-4CEC-A655-7E63A634A07D}"/>
    <cellStyle name="Percent 2 2 3 3 4" xfId="1104" xr:uid="{D1860A29-6BD6-451F-A9B3-CEF347F16220}"/>
    <cellStyle name="Percent 2 2 3 4" xfId="962" xr:uid="{95D78603-66E8-4024-A783-3BEEEFD9FEC0}"/>
    <cellStyle name="Percent 2 2 3 4 2" xfId="1404" xr:uid="{3EAB58BA-5BA4-44A8-B4EE-E6301138CFFF}"/>
    <cellStyle name="Percent 2 2 3 4 3" xfId="1171" xr:uid="{F500D14E-AF25-4979-8E0F-8A6D777664FF}"/>
    <cellStyle name="Percent 2 2 3 5" xfId="1288" xr:uid="{6B444173-8074-4761-BC65-0A84B7BA2D3D}"/>
    <cellStyle name="Percent 2 2 3 6" xfId="1051" xr:uid="{61119096-C3F9-47C9-872A-BABE34AA5001}"/>
    <cellStyle name="Percent 2 2 4" xfId="751" xr:uid="{67C08EE6-CC85-474D-9333-46CD53D7D965}"/>
    <cellStyle name="Percent 2 2 4 2" xfId="906" xr:uid="{78D525A1-AB0A-4D6B-A580-B5C2B6A2642F}"/>
    <cellStyle name="Percent 2 2 4 2 2" xfId="1237" xr:uid="{AD0C68EA-2396-4546-802F-535480E3F6A7}"/>
    <cellStyle name="Percent 2 2 4 2 2 2" xfId="1470" xr:uid="{E39EABB1-29B7-43EA-ABBE-7A912A3DA402}"/>
    <cellStyle name="Percent 2 2 4 2 3" xfId="1354" xr:uid="{7EF0AEBC-96D9-464F-91AE-11582A21A53C}"/>
    <cellStyle name="Percent 2 2 4 2 4" xfId="1118" xr:uid="{FEA682B3-D045-43DA-8BE3-B1C208A16ED9}"/>
    <cellStyle name="Percent 2 2 4 3" xfId="976" xr:uid="{E82A8719-362B-4533-8AE7-243A3A10BCEB}"/>
    <cellStyle name="Percent 2 2 4 3 2" xfId="1414" xr:uid="{0D65EABF-9039-4F52-AAD7-86DA9F5E03E7}"/>
    <cellStyle name="Percent 2 2 4 3 3" xfId="1181" xr:uid="{2027761D-7285-42B4-8E52-FD7608B4230C}"/>
    <cellStyle name="Percent 2 2 4 4" xfId="1298" xr:uid="{3B1A5A77-BF21-48C5-B3F7-88AFD7439F34}"/>
    <cellStyle name="Percent 2 2 4 5" xfId="1061" xr:uid="{9C590336-6991-43C1-88EC-9D1707BC96EC}"/>
    <cellStyle name="Percent 2 2 5" xfId="873" xr:uid="{67F12982-8CCE-43D4-8570-78EB238B02D4}"/>
    <cellStyle name="Percent 2 2 5 2" xfId="1207" xr:uid="{24FBBF85-8E4B-4274-9838-CE4688F9E7F0}"/>
    <cellStyle name="Percent 2 2 5 2 2" xfId="1440" xr:uid="{1B8C678E-AC22-4A1F-B582-54F3A8909F73}"/>
    <cellStyle name="Percent 2 2 5 3" xfId="1324" xr:uid="{DCC78229-2BE3-40E8-84E4-1CBCF46CBB87}"/>
    <cellStyle name="Percent 2 2 5 4" xfId="1088" xr:uid="{CCBEFCB9-7912-450F-A502-47923A3928A2}"/>
    <cellStyle name="Percent 2 2 6" xfId="946" xr:uid="{9C4479DA-E787-427F-85A9-A4F58C5AAED7}"/>
    <cellStyle name="Percent 2 2 6 2" xfId="1388" xr:uid="{0668FD38-92E8-479D-86DA-C347453AA5FC}"/>
    <cellStyle name="Percent 2 2 6 3" xfId="1155" xr:uid="{C3634280-881D-4D54-AFF1-030BE9D03180}"/>
    <cellStyle name="Percent 2 2 7" xfId="1272" xr:uid="{EDC9D8FF-2B90-40E7-A280-8190504072A1}"/>
    <cellStyle name="Percent 2 2 8" xfId="1035" xr:uid="{F1CC9E9A-C24E-4D2A-AF01-744365E7B526}"/>
    <cellStyle name="Percent 2 3" xfId="715" xr:uid="{957618BB-BB17-4599-B407-40F2504A0070}"/>
    <cellStyle name="Percent 2 3 2" xfId="723" xr:uid="{C334603A-CB93-4693-802B-1C5DE4FBA56B}"/>
    <cellStyle name="Percent 2 3 2 2" xfId="760" xr:uid="{3D0EB092-A6B4-4128-AF1C-12541BBD9A4F}"/>
    <cellStyle name="Percent 2 3 2 2 2" xfId="915" xr:uid="{3F02A74B-E453-40FC-9FB3-EC91A9EC293C}"/>
    <cellStyle name="Percent 2 3 2 2 2 2" xfId="1246" xr:uid="{ADE6962A-0F5E-4A0E-8526-21507C0C1CE2}"/>
    <cellStyle name="Percent 2 3 2 2 2 2 2" xfId="1479" xr:uid="{20AC5FD3-EE33-4452-B98E-610C5F113420}"/>
    <cellStyle name="Percent 2 3 2 2 2 3" xfId="1363" xr:uid="{8D03E115-34CE-4D64-93FD-487BF1B13253}"/>
    <cellStyle name="Percent 2 3 2 2 2 4" xfId="1127" xr:uid="{2FDBD90E-2E53-432D-97D4-96D689759883}"/>
    <cellStyle name="Percent 2 3 2 2 3" xfId="985" xr:uid="{BB0FB4EE-AE37-4CB9-B3E3-60A6A3E7CA87}"/>
    <cellStyle name="Percent 2 3 2 2 3 2" xfId="1423" xr:uid="{F64ED0DD-0205-438D-B588-ECE37A6A79A6}"/>
    <cellStyle name="Percent 2 3 2 2 3 3" xfId="1190" xr:uid="{45DA7050-7CA6-4E37-883F-A7FA850BCBAA}"/>
    <cellStyle name="Percent 2 3 2 2 4" xfId="1307" xr:uid="{85CC6D77-C8BF-4997-856A-36C792984BC9}"/>
    <cellStyle name="Percent 2 3 2 2 5" xfId="1070" xr:uid="{01CD960F-60E3-4B38-A068-DBECC530CCCB}"/>
    <cellStyle name="Percent 2 3 2 3" xfId="882" xr:uid="{1A56FA07-B24A-4458-ABB7-6A359A1EDDCC}"/>
    <cellStyle name="Percent 2 3 2 3 2" xfId="1216" xr:uid="{9B1E6F73-4710-4375-BD5A-EFF527D46207}"/>
    <cellStyle name="Percent 2 3 2 3 2 2" xfId="1449" xr:uid="{505B5699-6BE1-4703-A3B8-85EACD8AC3DF}"/>
    <cellStyle name="Percent 2 3 2 3 3" xfId="1333" xr:uid="{47773169-E417-4DD5-BE8E-B367EAAC66B7}"/>
    <cellStyle name="Percent 2 3 2 3 4" xfId="1097" xr:uid="{2F36AFF0-A868-453E-9820-59363BF4605B}"/>
    <cellStyle name="Percent 2 3 2 4" xfId="955" xr:uid="{85BACFE1-8D9D-4C9D-B21D-8006B00DF0A3}"/>
    <cellStyle name="Percent 2 3 2 4 2" xfId="1397" xr:uid="{DA623913-9CF7-4071-A1B8-267A5DDBF6F8}"/>
    <cellStyle name="Percent 2 3 2 4 3" xfId="1164" xr:uid="{C90ECF37-3C70-4B50-A8A5-16B86102142B}"/>
    <cellStyle name="Percent 2 3 2 5" xfId="1281" xr:uid="{7801F8DD-CD8B-4ECF-AEE1-D2B6A7D3CE61}"/>
    <cellStyle name="Percent 2 3 2 6" xfId="1044" xr:uid="{25644436-848F-4D06-8082-AC8096CEBBAB}"/>
    <cellStyle name="Percent 2 3 3" xfId="731" xr:uid="{8B53BB45-03F5-45F9-8DFF-41A7D01DF75F}"/>
    <cellStyle name="Percent 2 3 3 2" xfId="768" xr:uid="{B1C85827-EF7C-42A2-9763-9802B30DD390}"/>
    <cellStyle name="Percent 2 3 3 2 2" xfId="923" xr:uid="{484E0AE3-8EB5-4742-9CE6-D005770C2BEC}"/>
    <cellStyle name="Percent 2 3 3 2 2 2" xfId="1254" xr:uid="{5DB3A0DD-8A14-4585-A864-C6B49B4357DE}"/>
    <cellStyle name="Percent 2 3 3 2 2 2 2" xfId="1487" xr:uid="{2865ADB8-6236-479C-B012-F90D868943BE}"/>
    <cellStyle name="Percent 2 3 3 2 2 3" xfId="1371" xr:uid="{D30FF093-2737-41F8-8E8F-A19BC2F3774D}"/>
    <cellStyle name="Percent 2 3 3 2 2 4" xfId="1135" xr:uid="{CFAE250A-5ACB-45AE-800B-4ECD631A2251}"/>
    <cellStyle name="Percent 2 3 3 2 3" xfId="993" xr:uid="{1D9A29FE-9C6E-46DC-9A77-B89E3F3CBDAB}"/>
    <cellStyle name="Percent 2 3 3 2 3 2" xfId="1431" xr:uid="{010D03B1-4B47-44DA-A3AE-EB8FDDD30EC5}"/>
    <cellStyle name="Percent 2 3 3 2 3 3" xfId="1198" xr:uid="{41DCA3EF-8577-4C49-953F-C059C10267E5}"/>
    <cellStyle name="Percent 2 3 3 2 4" xfId="1315" xr:uid="{F63763CF-C887-48B4-A431-E5E833571B72}"/>
    <cellStyle name="Percent 2 3 3 2 5" xfId="1078" xr:uid="{748DDF15-5AF1-41A0-9367-3E4D45F8D759}"/>
    <cellStyle name="Percent 2 3 3 3" xfId="890" xr:uid="{1AB42011-F939-4163-8F76-49C89E7DB62C}"/>
    <cellStyle name="Percent 2 3 3 3 2" xfId="1224" xr:uid="{C677F1C4-0F2E-4219-8507-AB3DF04B2F87}"/>
    <cellStyle name="Percent 2 3 3 3 2 2" xfId="1457" xr:uid="{DCF1D279-FD00-4A7A-B071-A76E8D35B2AE}"/>
    <cellStyle name="Percent 2 3 3 3 3" xfId="1341" xr:uid="{4972E8A8-9A4C-4A17-BD8A-4949B375C5C0}"/>
    <cellStyle name="Percent 2 3 3 3 4" xfId="1105" xr:uid="{165CE284-A2FC-49C7-B2B5-59C4B3A90D7E}"/>
    <cellStyle name="Percent 2 3 3 4" xfId="963" xr:uid="{D211CE6A-38EE-4318-B1FA-11236953FD93}"/>
    <cellStyle name="Percent 2 3 3 4 2" xfId="1405" xr:uid="{1F8B2815-722A-4306-8EA5-152EC4C53F99}"/>
    <cellStyle name="Percent 2 3 3 4 3" xfId="1172" xr:uid="{9A17229A-0A23-42FB-A386-6025C0AF1AA0}"/>
    <cellStyle name="Percent 2 3 3 5" xfId="1289" xr:uid="{B69FA835-8DA6-4470-B8B5-4F2EC6C92574}"/>
    <cellStyle name="Percent 2 3 3 6" xfId="1052" xr:uid="{4229D542-344F-4FED-9745-1DCB82C2A25B}"/>
    <cellStyle name="Percent 2 3 4" xfId="752" xr:uid="{A06D54FA-1BE7-4EC7-A4CE-2E5ED86DC7F8}"/>
    <cellStyle name="Percent 2 3 4 2" xfId="907" xr:uid="{C9A63241-03B1-4A5F-B3A3-82EAB8F1E8B6}"/>
    <cellStyle name="Percent 2 3 4 2 2" xfId="1238" xr:uid="{06666921-8819-4BAD-BB2E-C28B6D172465}"/>
    <cellStyle name="Percent 2 3 4 2 2 2" xfId="1471" xr:uid="{75245791-C09F-4E64-90AF-4CC00FEAC8C5}"/>
    <cellStyle name="Percent 2 3 4 2 3" xfId="1355" xr:uid="{1753C37D-B412-4B6E-89EA-CA9A85CB8A9C}"/>
    <cellStyle name="Percent 2 3 4 2 4" xfId="1119" xr:uid="{FA2C178F-FECC-4FF1-B1CF-092C95D56237}"/>
    <cellStyle name="Percent 2 3 4 3" xfId="977" xr:uid="{15CDCB16-6A58-45E5-98A8-0FB701935A23}"/>
    <cellStyle name="Percent 2 3 4 3 2" xfId="1415" xr:uid="{40D3D8C4-31D1-4158-950F-E62F909951EC}"/>
    <cellStyle name="Percent 2 3 4 3 3" xfId="1182" xr:uid="{8BF9878D-6AD9-4640-86F8-6381C4488A5E}"/>
    <cellStyle name="Percent 2 3 4 4" xfId="1299" xr:uid="{EA845108-13B8-4213-8F1E-022A1DFBE373}"/>
    <cellStyle name="Percent 2 3 4 5" xfId="1062" xr:uid="{585185B1-1F12-41A8-8768-5FF189C2F07A}"/>
    <cellStyle name="Percent 2 3 5" xfId="874" xr:uid="{5E82E133-C67A-4986-A03F-CF24947BB3F0}"/>
    <cellStyle name="Percent 2 3 5 2" xfId="1208" xr:uid="{FD1FE9F1-D9B3-4F5A-98AC-8ABCD1A80B0C}"/>
    <cellStyle name="Percent 2 3 5 2 2" xfId="1441" xr:uid="{4382CE8D-E9E4-4259-8E9E-98D00809D4DE}"/>
    <cellStyle name="Percent 2 3 5 3" xfId="1325" xr:uid="{D6D89290-7914-4588-AA44-ED4448B728D9}"/>
    <cellStyle name="Percent 2 3 5 4" xfId="1089" xr:uid="{8F0C975D-EACE-4C08-A195-E228E14156E8}"/>
    <cellStyle name="Percent 2 3 6" xfId="947" xr:uid="{3B956D36-FB19-4557-8C02-9B43DC27B55B}"/>
    <cellStyle name="Percent 2 3 6 2" xfId="1389" xr:uid="{E2417F6D-06E6-4402-A2F3-3C36E3214CEE}"/>
    <cellStyle name="Percent 2 3 6 3" xfId="1156" xr:uid="{BD8B0B01-D36E-4B3B-BCF0-186DC0A359ED}"/>
    <cellStyle name="Percent 2 3 7" xfId="1273" xr:uid="{1E4F2552-9B0C-4E02-AD0B-3FA68BA722F5}"/>
    <cellStyle name="Percent 2 3 8" xfId="1036" xr:uid="{504F4993-2E2D-41CB-A02A-94ACD62B22AD}"/>
    <cellStyle name="Percent 2 4" xfId="1491" xr:uid="{63A4295F-CB30-4A18-B766-1E2FF7F4C0D1}"/>
    <cellStyle name="Percent 2 5" xfId="660" xr:uid="{4942AEF8-1E46-4CCB-B071-0521E2369A69}"/>
    <cellStyle name="Percent 20" xfId="995" xr:uid="{88286FDA-7BF1-4A87-994E-478ECAFFCA49}"/>
    <cellStyle name="Percent 21" xfId="997" xr:uid="{DF070F17-16A0-4CF6-8DC2-A1F7AEF91A35}"/>
    <cellStyle name="Percent 22" xfId="1008" xr:uid="{072A6A8E-01B0-4277-9BF1-06FF2876414E}"/>
    <cellStyle name="Percent 23" xfId="1492" xr:uid="{59092509-D486-4035-A998-EF1E88800E41}"/>
    <cellStyle name="Percent 24" xfId="1011" xr:uid="{E2BF0BF1-3FF5-4A5B-B1B1-5DE1DD784078}"/>
    <cellStyle name="Percent 25" xfId="1494" xr:uid="{0ADD595E-96F4-45BC-9CFA-23D5819380C5}"/>
    <cellStyle name="Percent 26" xfId="1021" xr:uid="{152B16FB-9AAC-47DA-BB25-B6E03715D3AB}"/>
    <cellStyle name="Percent 27" xfId="998" xr:uid="{B053958A-9854-45B4-932F-35BD075BE6CC}"/>
    <cellStyle name="Percent 28" xfId="1007" xr:uid="{CA176766-B462-4A0E-8185-4B333BBC4162}"/>
    <cellStyle name="Percent 29" xfId="1496" xr:uid="{E80A7E8B-47C6-4E4B-AF4D-7F99345B9FDD}"/>
    <cellStyle name="Percent 3" xfId="86" xr:uid="{00000000-0005-0000-0000-00005A000000}"/>
    <cellStyle name="Percent 3 2" xfId="87" xr:uid="{00000000-0005-0000-0000-00005B000000}"/>
    <cellStyle name="Percent 3 2 2" xfId="846" xr:uid="{3040551E-A83F-4526-9243-69DD6D01574C}"/>
    <cellStyle name="Percent 3 2 3" xfId="99" xr:uid="{00000000-0005-0000-0000-00005C000000}"/>
    <cellStyle name="Percent 3 2 4" xfId="711" xr:uid="{CFAB68E3-4DA1-4B36-806A-2EF59B608AF7}"/>
    <cellStyle name="Percent 3 3" xfId="735" xr:uid="{B1055DFC-E471-4EEA-9D50-1A88F26CD4BA}"/>
    <cellStyle name="Percent 3 4" xfId="842" xr:uid="{18429C23-B04A-4925-B20D-809EF7B2CD13}"/>
    <cellStyle name="Percent 3 5" xfId="661" xr:uid="{4A961E52-7858-4D07-90B6-5933D4465ABC}"/>
    <cellStyle name="Percent 30" xfId="1018" xr:uid="{F10D3621-BAA6-4330-8044-79E95329A343}"/>
    <cellStyle name="Percent 31" xfId="1020" xr:uid="{3E4921C8-B9E3-47DF-8C3B-46F7F146FFFC}"/>
    <cellStyle name="Percent 32" xfId="1009" xr:uid="{9617C96B-923A-46D2-BD6C-665997BF16C1}"/>
    <cellStyle name="Percent 33" xfId="1495" xr:uid="{BDCA4C26-8227-48E4-8115-35D488F4B99B}"/>
    <cellStyle name="Percent 34" xfId="1003" xr:uid="{60C11D62-61CC-45E3-9415-54E833E12B30}"/>
    <cellStyle name="Percent 35" xfId="1493" xr:uid="{DC2BAC89-00D5-4A3B-B29A-B39718E8F0C6}"/>
    <cellStyle name="Percent 36" xfId="1497" xr:uid="{02F7BAE4-5DEA-494F-9256-E9442B1864E3}"/>
    <cellStyle name="Percent 37" xfId="1499" xr:uid="{C81CE211-9D11-4567-9F40-51E90814147B}"/>
    <cellStyle name="Percent 38" xfId="1501" xr:uid="{68B9045E-FE4E-45DA-8A94-460D0B107C41}"/>
    <cellStyle name="Percent 39" xfId="1503" xr:uid="{BBB9BA4E-CEBE-4741-8055-9095E4630484}"/>
    <cellStyle name="Percent 4" xfId="88" xr:uid="{00000000-0005-0000-0000-00005D000000}"/>
    <cellStyle name="Percent 4 2" xfId="864" xr:uid="{C729B1F8-E543-471E-8920-B5EFAA934FCB}"/>
    <cellStyle name="Percent 4 3" xfId="712" xr:uid="{55D2CD74-19FC-40BE-B10B-80E3CC32F985}"/>
    <cellStyle name="Percent 40" xfId="1505" xr:uid="{6186B9CC-7DF7-4DE1-B26B-37F54E2FE527}"/>
    <cellStyle name="Percent 41" xfId="1507" xr:uid="{C3FE416F-455E-427D-BF1E-166A567ACECC}"/>
    <cellStyle name="Percent 42" xfId="1509" xr:uid="{17975B7A-5585-4B35-AD6C-A95C737F6F36}"/>
    <cellStyle name="Percent 43" xfId="1511" xr:uid="{ED3CC2E2-376F-4E95-B580-3998411C884D}"/>
    <cellStyle name="Percent 44" xfId="1513" xr:uid="{7E48C945-A29D-45B4-8D15-6B4E5E396A36}"/>
    <cellStyle name="Percent 45" xfId="1515" xr:uid="{8AA11831-538B-4C4C-8842-9B72706654B5}"/>
    <cellStyle name="Percent 46" xfId="1517" xr:uid="{A02A0402-8161-4A49-9DC6-0D06618F876A}"/>
    <cellStyle name="Percent 47" xfId="1519" xr:uid="{A6709786-5F9B-4B09-B051-65D55B309133}"/>
    <cellStyle name="Percent 48" xfId="1521" xr:uid="{23263B67-DA48-4959-A266-D04B85B13A50}"/>
    <cellStyle name="Percent 49" xfId="659" xr:uid="{A9361BA9-887F-4091-9842-A632E38243DD}"/>
    <cellStyle name="Percent 5" xfId="89" xr:uid="{00000000-0005-0000-0000-00005E000000}"/>
    <cellStyle name="Percent 5 2" xfId="744" xr:uid="{C51EA53D-BD39-4949-B029-F588B38C9096}"/>
    <cellStyle name="Percent 6" xfId="739" xr:uid="{00E4EDF4-04AE-4A8A-A445-3F1770962B6D}"/>
    <cellStyle name="Percent 6 2" xfId="896" xr:uid="{133A4BC4-9BF1-4B85-9B40-BC456A15AB6C}"/>
    <cellStyle name="Percent 6 2 2" xfId="1461" xr:uid="{E3077FF0-236A-462E-A858-57FA2C3BC860}"/>
    <cellStyle name="Percent 6 2 3" xfId="1228" xr:uid="{A7EDCDC1-20D6-435E-870C-68C5F715E7C6}"/>
    <cellStyle name="Percent 6 3" xfId="967" xr:uid="{89B06886-1275-4116-8A5C-BAE4447F47F1}"/>
    <cellStyle name="Percent 6 3 2" xfId="1345" xr:uid="{D312287E-6135-4A4E-B1DC-83B1838D1694}"/>
    <cellStyle name="Percent 6 4" xfId="1109" xr:uid="{38ECC924-6877-4C16-8D0F-B18EF5D0A5CC}"/>
    <cellStyle name="Percent 7" xfId="929" xr:uid="{E3721F02-5F4C-4E9C-9734-E0FFFDC69449}"/>
    <cellStyle name="Percent 7 2" xfId="1142" xr:uid="{06CD519F-2993-4E2E-BEEC-92D8F5DA0F5F}"/>
    <cellStyle name="Percent 8" xfId="930" xr:uid="{B03B89C8-5F04-4F53-8156-073A14975EDC}"/>
    <cellStyle name="Percent 8 2" xfId="1258" xr:uid="{757B7B4C-F691-4D83-BEE6-CC035DAC7294}"/>
    <cellStyle name="Percent 9" xfId="933" xr:uid="{9A749FCD-075B-4097-874D-65B6CE283A39}"/>
    <cellStyle name="Style 23" xfId="3" xr:uid="{00000000-0005-0000-0000-00005F000000}"/>
    <cellStyle name="Style 23 2" xfId="714" xr:uid="{58BF3198-1938-4CE3-8788-C79370C43328}"/>
    <cellStyle name="Style 23 3" xfId="713" xr:uid="{7D65EC76-69C8-40B7-9320-37CD6834A8FC}"/>
    <cellStyle name="STYLE1" xfId="90" xr:uid="{00000000-0005-0000-0000-000060000000}"/>
    <cellStyle name="STYLE2" xfId="91" xr:uid="{00000000-0005-0000-0000-000061000000}"/>
    <cellStyle name="STYLE4" xfId="92" xr:uid="{00000000-0005-0000-0000-000062000000}"/>
    <cellStyle name="Subtotal" xfId="93" xr:uid="{00000000-0005-0000-0000-000063000000}"/>
    <cellStyle name="Title 2" xfId="94" xr:uid="{00000000-0005-0000-0000-000064000000}"/>
    <cellStyle name="Title 2 2" xfId="1022" xr:uid="{0CB3792D-C93A-46FD-BA8F-B2566CC7F30E}"/>
    <cellStyle name="Title 3" xfId="793" xr:uid="{00A40A86-F2D4-46E7-BC07-5190D5DAED0C}"/>
    <cellStyle name="Total 10" xfId="662" xr:uid="{B8C97E61-A9F6-4417-B045-67D836D6A9E9}"/>
    <cellStyle name="Total 11" xfId="663" xr:uid="{4AFD8423-901D-4C1F-9483-BFF2E575BAF2}"/>
    <cellStyle name="Total 12" xfId="664" xr:uid="{03F47C12-3FB6-4CC5-8599-93F0CE2E6212}"/>
    <cellStyle name="Total 13" xfId="665" xr:uid="{40376B34-1598-432D-849E-19D337D84FAB}"/>
    <cellStyle name="Total 14" xfId="666" xr:uid="{E0EC608F-D44D-4DA9-8508-F7B07A6D62C3}"/>
    <cellStyle name="Total 15" xfId="667" xr:uid="{47B510AC-5742-44FB-8E21-028FBFA1CE2D}"/>
    <cellStyle name="Total 16" xfId="794" xr:uid="{0AD3E2A5-2193-4C63-B928-834750545801}"/>
    <cellStyle name="Total 2" xfId="95" xr:uid="{00000000-0005-0000-0000-000065000000}"/>
    <cellStyle name="Total 2 2" xfId="813" xr:uid="{28FAF2D3-4A09-434B-BD0C-CA27F6C494BC}"/>
    <cellStyle name="Total 2 3" xfId="668" xr:uid="{EC04D9DC-5173-4E4A-A489-F66F37367CE0}"/>
    <cellStyle name="Total 3" xfId="669" xr:uid="{BD127B31-8186-4B6D-8D0E-706E3F42F845}"/>
    <cellStyle name="Total 4" xfId="670" xr:uid="{A4DD1224-D6AA-40BD-806E-86C4453F2752}"/>
    <cellStyle name="Total 5" xfId="671" xr:uid="{EAE319E5-2D49-4304-92BB-167E6B681D0C}"/>
    <cellStyle name="Total 6" xfId="672" xr:uid="{A15C169C-84D9-47ED-8D17-D0385D36B226}"/>
    <cellStyle name="Total 7" xfId="673" xr:uid="{001D1633-CA86-4CA9-A6F6-68C601CA5879}"/>
    <cellStyle name="Total 8" xfId="674" xr:uid="{218F9980-F3A4-458A-9A94-FAE3D15DAB05}"/>
    <cellStyle name="Total 9" xfId="675" xr:uid="{B0DC51FE-90E2-46C3-9684-9FBDAA24DFF5}"/>
    <cellStyle name="Warning Text 10" xfId="676" xr:uid="{9D27EA6C-1766-4A37-B121-CA1B3ECB5E10}"/>
    <cellStyle name="Warning Text 11" xfId="677" xr:uid="{96E5491B-6C27-43BA-8188-BF6514EAF449}"/>
    <cellStyle name="Warning Text 12" xfId="678" xr:uid="{B9487338-0B7E-406F-913B-9087095D8D55}"/>
    <cellStyle name="Warning Text 13" xfId="679" xr:uid="{C4D2BB42-FB9F-4845-8E8F-6C5172FFC117}"/>
    <cellStyle name="Warning Text 14" xfId="680" xr:uid="{61778BEC-7724-4B4C-87C2-D72F67BE4508}"/>
    <cellStyle name="Warning Text 15" xfId="681" xr:uid="{2851631C-9765-4B86-B376-AEA1567F9E81}"/>
    <cellStyle name="Warning Text 16" xfId="795" xr:uid="{733EE28F-3587-4E0F-8BFA-69D5A0401452}"/>
    <cellStyle name="Warning Text 2" xfId="96" xr:uid="{00000000-0005-0000-0000-000066000000}"/>
    <cellStyle name="Warning Text 2 2" xfId="810" xr:uid="{2B837EDB-828B-4983-B609-910661F9A201}"/>
    <cellStyle name="Warning Text 2 3" xfId="682" xr:uid="{5B3BC198-7405-44C4-9AC4-99FF46EBC9BD}"/>
    <cellStyle name="Warning Text 3" xfId="683" xr:uid="{A5BA6059-1DE1-47EF-A0D4-B76430AED1F7}"/>
    <cellStyle name="Warning Text 4" xfId="684" xr:uid="{7F31B44A-BE13-4D1F-85C8-5DFE23E7654B}"/>
    <cellStyle name="Warning Text 5" xfId="685" xr:uid="{968A673C-2DBC-4706-B115-EB4C7B1B7AF0}"/>
    <cellStyle name="Warning Text 6" xfId="686" xr:uid="{3B092DE0-F827-405B-90DE-31D01E1505C0}"/>
    <cellStyle name="Warning Text 7" xfId="687" xr:uid="{BDED9789-8E45-4E4A-AD10-EB0825BE44E9}"/>
    <cellStyle name="Warning Text 8" xfId="688" xr:uid="{0708A765-B026-48C5-AF8A-0EAAC65DA0A0}"/>
    <cellStyle name="Warning Text 9" xfId="689" xr:uid="{9C40819F-8CFD-4A5D-B22B-6FD37B9AECC8}"/>
  </cellStyles>
  <dxfs count="0"/>
  <tableStyles count="0" defaultTableStyle="TableStyleMedium2" defaultPivotStyle="PivotStyleLight16"/>
  <colors>
    <mruColors>
      <color rgb="FFCCFFCC"/>
      <color rgb="FF00639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Summaries!$Q$186</c:f>
              <c:strCache>
                <c:ptCount val="1"/>
                <c:pt idx="0">
                  <c:v>Actual kWh Purchased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Summaries!$P$187:$P$196</c:f>
              <c:numCache>
                <c:formatCode>0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Summaries!$Q$187:$Q$196</c:f>
              <c:numCache>
                <c:formatCode>#,##0_);\(#,##0\)</c:formatCode>
                <c:ptCount val="10"/>
                <c:pt idx="0">
                  <c:v>253794532.28605214</c:v>
                </c:pt>
                <c:pt idx="1">
                  <c:v>256463675.28359121</c:v>
                </c:pt>
                <c:pt idx="2">
                  <c:v>256374688.63650927</c:v>
                </c:pt>
                <c:pt idx="3">
                  <c:v>259210018.63999999</c:v>
                </c:pt>
                <c:pt idx="4">
                  <c:v>254048366.90000001</c:v>
                </c:pt>
                <c:pt idx="5">
                  <c:v>266473255.97205046</c:v>
                </c:pt>
                <c:pt idx="6">
                  <c:v>261985353.56</c:v>
                </c:pt>
                <c:pt idx="7">
                  <c:v>263490930.20000002</c:v>
                </c:pt>
                <c:pt idx="8">
                  <c:v>268727921.99999994</c:v>
                </c:pt>
                <c:pt idx="9">
                  <c:v>275958139.94408911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E8-40C4-A3FE-72B6B4968C98}"/>
            </c:ext>
          </c:extLst>
        </c:ser>
        <c:ser>
          <c:idx val="1"/>
          <c:order val="1"/>
          <c:tx>
            <c:strRef>
              <c:f>Summaries!$S$186</c:f>
              <c:strCache>
                <c:ptCount val="1"/>
                <c:pt idx="0">
                  <c:v>Predicted kWh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Summaries!$P$187:$P$196</c:f>
              <c:numCache>
                <c:formatCode>0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Summaries!$S$187:$S$196</c:f>
              <c:numCache>
                <c:formatCode>#,##0_);\(#,##0\)</c:formatCode>
                <c:ptCount val="10"/>
                <c:pt idx="0">
                  <c:v>251057418.86621657</c:v>
                </c:pt>
                <c:pt idx="1">
                  <c:v>253261286.00769246</c:v>
                </c:pt>
                <c:pt idx="2">
                  <c:v>255606326.81527585</c:v>
                </c:pt>
                <c:pt idx="3">
                  <c:v>261704642.09960899</c:v>
                </c:pt>
                <c:pt idx="4">
                  <c:v>258277666.21120611</c:v>
                </c:pt>
                <c:pt idx="5">
                  <c:v>266218412.34054422</c:v>
                </c:pt>
                <c:pt idx="6">
                  <c:v>265019257.76105964</c:v>
                </c:pt>
                <c:pt idx="7">
                  <c:v>266884948.06330311</c:v>
                </c:pt>
                <c:pt idx="8">
                  <c:v>268938534.64931339</c:v>
                </c:pt>
                <c:pt idx="9">
                  <c:v>272212819.34678811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E8-40C4-A3FE-72B6B4968C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98202127"/>
        <c:axId val="898201711"/>
      </c:barChart>
      <c:catAx>
        <c:axId val="89820212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8201711"/>
        <c:crosses val="autoZero"/>
        <c:auto val="1"/>
        <c:lblAlgn val="ctr"/>
        <c:lblOffset val="100"/>
        <c:noMultiLvlLbl val="0"/>
      </c:catAx>
      <c:valAx>
        <c:axId val="898201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8202127"/>
        <c:crosses val="autoZero"/>
        <c:crossBetween val="between"/>
        <c:dispUnits>
          <c:builtInUnit val="million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t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807720</xdr:colOff>
      <xdr:row>196</xdr:row>
      <xdr:rowOff>133350</xdr:rowOff>
    </xdr:from>
    <xdr:to>
      <xdr:col>18</xdr:col>
      <xdr:colOff>809625</xdr:colOff>
      <xdr:row>213</xdr:row>
      <xdr:rowOff>32385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A562705-2506-CF69-67E1-ADC27D3821B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0</xdr:colOff>
      <xdr:row>243</xdr:row>
      <xdr:rowOff>0</xdr:rowOff>
    </xdr:from>
    <xdr:to>
      <xdr:col>17</xdr:col>
      <xdr:colOff>10401</xdr:colOff>
      <xdr:row>253</xdr:row>
      <xdr:rowOff>19324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A48663F-1CB1-6478-6500-50E4A810DF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543925" y="44148375"/>
          <a:ext cx="6277851" cy="19624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\Richmond%20Hill\Year%20End\RHH96YE_%20MEA%20Statistics.xls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FINANCE\Rate%20Submission\2014%20Filing\2014%20Rate%20Application%20Documentation%20-%20Settlement%20Conference\1.%20Models\OHL_Load%20Forecasting%20Model%20-%202014.xlsx" TargetMode="External"/><Relationship Id="rId1" Type="http://schemas.openxmlformats.org/officeDocument/2006/relationships/externalLinkPath" Target="/FINANCE/Rate%20Submission/2014%20Filing/2014%20Rate%20Application%20Documentation%20-%20Settlement%20Conference/1.%20Models/OHL_Load%20Forecasting%20Model%20-%202014.xlsx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FINANCE\Rate%20Submission\2024%20Cost%20of%20Service\Exhibit%203%20Load%20forecasting\Daily%20Data%20Report%20HDD%20CDD%20from%20Govt%20of%20Canada.xlsx" TargetMode="External"/><Relationship Id="rId1" Type="http://schemas.openxmlformats.org/officeDocument/2006/relationships/externalLinkPath" Target="/FINANCE/Rate%20Submission/2024%20Cost%20of%20Service/Exhibit%203%20Load%20forecasting/Daily%20Data%20Report%20HDD%20CDD%20from%20Govt%20of%20Canada.xlsx" TargetMode="External"/></Relationships>
</file>

<file path=xl/externalLinks/_rels/externalLink1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FINANCE\RRR%20Reporting\2023\Annual%20Filing%20-%20YE%202022\2.1.5%20PBR\Demand%20and%20Revenue\RRR%202.1.5.4%20Demand%20and%20Revenue%20kW%20and%20kWh%20w%20RTLRID%20YE2022%2020230418_submitted%20June%202023.xlsx" TargetMode="External"/><Relationship Id="rId1" Type="http://schemas.openxmlformats.org/officeDocument/2006/relationships/externalLinkPath" Target="/FINANCE/RRR%20Reporting/2023/Annual%20Filing%20-%20YE%202022/2.1.5%20PBR/Demand%20and%20Revenue/RRR%202.1.5.4%20Demand%20and%20Revenue%20kW%20and%20kWh%20w%20RTLRID%20YE2022%2020230418_submitted%20June%202023.xlsx" TargetMode="External"/></Relationships>
</file>

<file path=xl/externalLinks/_rels/externalLink1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FINANCE\Rate%20Submission\2024%20Cost%20of%20Service\5.%20Settlement\Models%2020240313\OHL%202024_Filing_Requirements_Chapter2_Appendices%2020240313.xlsm" TargetMode="External"/><Relationship Id="rId1" Type="http://schemas.openxmlformats.org/officeDocument/2006/relationships/externalLinkPath" Target="OHL%202024_Filing_Requirements_Chapter2_Appendices%2020240313.xlsm" TargetMode="External"/></Relationships>
</file>

<file path=xl/externalLinks/_rels/externalLink1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FINANCE\Rate%20Submission\2024%20Cost%20of%20Service\4.%20Clarification%20Questions\VECC-51%202013-2020%20Roechling_Archive%20from%20Utilismart.xlsx" TargetMode="External"/><Relationship Id="rId1" Type="http://schemas.openxmlformats.org/officeDocument/2006/relationships/externalLinkPath" Target="/FINANCE/Rate%20Submission/2024%20Cost%20of%20Service/4.%20Clarification%20Questions/VECC-51%202013-2020%20Roechling_Archive%20from%20Utilismar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Calhoun\Local%20Settings\Temporary%20Internet%20Files\Content.Outlook\EIW673TU\Documents%20and%20Settings\dferraro\Local%20Settings\Temporary%20Internet%20Files\OLKB\Dummy%20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LDC%20FTY%20-%20LF\CostAllocation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Tennant\Return%20on%20Equity%20and%20WC\RateMake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DC%20FTY%20-%20LF\CostAllocation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Documents%20and%20Settings\bbacon\My%20Documents\Orillia\2010%20Rates\2010%20Rate%20File%20-%20July%202,%202009\Documents%20and%20Settings\mmaw\Local%20Settings\Temporary%20Internet%20Files\OLKBC\Exhibit%203%20Distribution%20Revenue%20Throughputs%20-%20Blank.xls?9891282D" TargetMode="External"/><Relationship Id="rId1" Type="http://schemas.openxmlformats.org/officeDocument/2006/relationships/externalLinkPath" Target="file:///\\9891282D\Exhibit%203%20Distribution%20Revenue%20Throughputs%20-%20Blank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bacon\My%20Documents\Orillia\2010%20Rates\2010%20Rate%20File%20-%20July%202,%202009\Documents%20and%20Settings\phurley\Desktop\Lakeland%20Rate%20App\LPDL_2009%20Revenue%20Requiremen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A Statistics"/>
      <sheetName val="North York Stat"/>
      <sheetName val="MEA Title Pge"/>
      <sheetName val="Old MEA Statistics"/>
      <sheetName val="Input"/>
    </sheetNames>
    <sheetDataSet>
      <sheetData sheetId="0" refreshError="1"/>
      <sheetData sheetId="1" refreshError="1"/>
      <sheetData sheetId="2" refreshError="1"/>
      <sheetData sheetId="3" refreshError="1">
        <row r="1">
          <cell r="B1" t="str">
            <v>SUMMARY</v>
          </cell>
        </row>
        <row r="250">
          <cell r="B250" t="str">
            <v xml:space="preserve">   Average for medium size utilities</v>
          </cell>
        </row>
      </sheetData>
      <sheetData sheetId="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xibit 3 Tables"/>
      <sheetName val="Summary"/>
      <sheetName val=" Purchased Power Model"/>
      <sheetName val="Rate Class Energy Model"/>
      <sheetName val="Rate Class Customer Model"/>
      <sheetName val="Rate Class Load Model"/>
      <sheetName val="2013 COP Forecast"/>
      <sheetName val="2014 COP Forecast"/>
      <sheetName val="Manual Adj Industries"/>
      <sheetName val="CDM Data"/>
      <sheetName val="Peak hours"/>
      <sheetName val="HDD and CDD data"/>
      <sheetName val="Chart2"/>
      <sheetName val="Customer"/>
      <sheetName val="Residential"/>
      <sheetName val="GS &lt; 50 kW"/>
      <sheetName val="GS &gt; 50 kW "/>
      <sheetName val="Sheet1"/>
      <sheetName val="Sheet2"/>
    </sheetNames>
    <sheetDataSet>
      <sheetData sheetId="0"/>
      <sheetData sheetId="1">
        <row r="5">
          <cell r="M5">
            <v>266100000</v>
          </cell>
        </row>
        <row r="8">
          <cell r="M8">
            <v>252033687.41449282</v>
          </cell>
        </row>
        <row r="9">
          <cell r="M9">
            <v>252.03368741449282</v>
          </cell>
        </row>
        <row r="12">
          <cell r="M12">
            <v>10324.921892397642</v>
          </cell>
        </row>
        <row r="13">
          <cell r="M13">
            <v>90278404.207778618</v>
          </cell>
        </row>
        <row r="14">
          <cell r="M14">
            <v>90.278404207778621</v>
          </cell>
        </row>
        <row r="16">
          <cell r="M16">
            <v>1140.8484921040983</v>
          </cell>
        </row>
        <row r="17">
          <cell r="M17">
            <v>37678912.33805047</v>
          </cell>
        </row>
        <row r="18">
          <cell r="M18">
            <v>37.678912338050466</v>
          </cell>
        </row>
        <row r="20">
          <cell r="M20">
            <v>123.69498579758614</v>
          </cell>
        </row>
        <row r="21">
          <cell r="M21">
            <v>121733912.81420493</v>
          </cell>
        </row>
        <row r="22">
          <cell r="M22">
            <v>293725.33462561422</v>
          </cell>
        </row>
        <row r="23">
          <cell r="M23">
            <v>121.73391281420493</v>
          </cell>
        </row>
        <row r="25">
          <cell r="M25">
            <v>2869.6628833825698</v>
          </cell>
        </row>
        <row r="26">
          <cell r="M26">
            <v>1861617.8068174501</v>
          </cell>
        </row>
        <row r="27">
          <cell r="M27">
            <v>5229.9860393372019</v>
          </cell>
        </row>
        <row r="28">
          <cell r="M28">
            <v>1.86161780681745</v>
          </cell>
        </row>
        <row r="30">
          <cell r="M30">
            <v>155.48547729973458</v>
          </cell>
        </row>
        <row r="31">
          <cell r="M31">
            <v>122535.77700319083</v>
          </cell>
        </row>
        <row r="32">
          <cell r="M32">
            <v>338.86175995396366</v>
          </cell>
        </row>
        <row r="33">
          <cell r="M33">
            <v>0.12253577700319083</v>
          </cell>
        </row>
        <row r="35">
          <cell r="M35">
            <v>104</v>
          </cell>
        </row>
        <row r="36">
          <cell r="M36">
            <v>358304.47063816962</v>
          </cell>
        </row>
        <row r="37">
          <cell r="M37">
            <v>0.35830447063816961</v>
          </cell>
        </row>
        <row r="39">
          <cell r="M39">
            <v>14718.613730981633</v>
          </cell>
        </row>
        <row r="40">
          <cell r="M40">
            <v>252033687.41449282</v>
          </cell>
        </row>
        <row r="41">
          <cell r="M41">
            <v>299294.18242490536</v>
          </cell>
        </row>
        <row r="44">
          <cell r="M44">
            <v>14718.613730981633</v>
          </cell>
        </row>
        <row r="45">
          <cell r="M45">
            <v>252033687.41449282</v>
          </cell>
        </row>
        <row r="46">
          <cell r="M46">
            <v>299294.18242490536</v>
          </cell>
        </row>
      </sheetData>
      <sheetData sheetId="2"/>
      <sheetData sheetId="3">
        <row r="12">
          <cell r="B12">
            <v>261643455.43000001</v>
          </cell>
        </row>
      </sheetData>
      <sheetData sheetId="4">
        <row r="13">
          <cell r="B13">
            <v>10204.255841796119</v>
          </cell>
        </row>
      </sheetData>
      <sheetData sheetId="5">
        <row r="13">
          <cell r="B13">
            <v>293022.41964743519</v>
          </cell>
        </row>
      </sheetData>
      <sheetData sheetId="6">
        <row r="13">
          <cell r="F13">
            <v>6463101.6594821503</v>
          </cell>
        </row>
      </sheetData>
      <sheetData sheetId="7">
        <row r="13">
          <cell r="F13">
            <v>7415278.8986465596</v>
          </cell>
        </row>
      </sheetData>
      <sheetData sheetId="8"/>
      <sheetData sheetId="9">
        <row r="6">
          <cell r="O6">
            <v>9.8138747884940772E-2</v>
          </cell>
        </row>
      </sheetData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hoice of Station"/>
      <sheetName val="KW 321m"/>
      <sheetName val="HDD CDD Summary"/>
      <sheetName val="Elora 376m"/>
      <sheetName val="Peak no of hours"/>
      <sheetName val="Toronto Intl A"/>
      <sheetName val="OV vs Mono 2014&amp;2015"/>
      <sheetName val="Orangeville MOE 411m"/>
      <sheetName val="Mono Center station"/>
      <sheetName val="Instructions"/>
    </sheetNames>
    <sheetDataSet>
      <sheetData sheetId="0"/>
      <sheetData sheetId="1"/>
      <sheetData sheetId="2">
        <row r="1">
          <cell r="R1" t="str">
            <v>Input to Load Forecast Model</v>
          </cell>
          <cell r="S1"/>
          <cell r="T1" t="str">
            <v>for Pearson</v>
          </cell>
        </row>
        <row r="2">
          <cell r="S2" t="str">
            <v>Monthly HDD</v>
          </cell>
          <cell r="T2" t="str">
            <v>Monthly CDD</v>
          </cell>
        </row>
        <row r="3">
          <cell r="R3" t="str">
            <v>20131</v>
          </cell>
          <cell r="S3">
            <v>624.50000000000011</v>
          </cell>
          <cell r="T3">
            <v>0</v>
          </cell>
        </row>
        <row r="4">
          <cell r="R4" t="str">
            <v>20132</v>
          </cell>
          <cell r="S4">
            <v>631.49999999999989</v>
          </cell>
          <cell r="T4">
            <v>0</v>
          </cell>
        </row>
        <row r="5">
          <cell r="R5" t="str">
            <v>20133</v>
          </cell>
          <cell r="S5">
            <v>554.79999999999995</v>
          </cell>
          <cell r="T5">
            <v>0</v>
          </cell>
        </row>
        <row r="6">
          <cell r="R6" t="str">
            <v>20134</v>
          </cell>
          <cell r="S6">
            <v>358.6</v>
          </cell>
          <cell r="T6">
            <v>0</v>
          </cell>
        </row>
        <row r="7">
          <cell r="R7" t="str">
            <v>20135</v>
          </cell>
          <cell r="S7">
            <v>109.10000000000001</v>
          </cell>
          <cell r="T7">
            <v>23.1</v>
          </cell>
        </row>
        <row r="8">
          <cell r="R8" t="str">
            <v>20136</v>
          </cell>
          <cell r="S8">
            <v>32.999999999999993</v>
          </cell>
          <cell r="T8">
            <v>60</v>
          </cell>
        </row>
        <row r="9">
          <cell r="R9" t="str">
            <v>20137</v>
          </cell>
          <cell r="S9">
            <v>1.2999999999999998</v>
          </cell>
          <cell r="T9">
            <v>131.20000000000002</v>
          </cell>
        </row>
        <row r="10">
          <cell r="R10" t="str">
            <v>20138</v>
          </cell>
          <cell r="S10">
            <v>4.4000000000000004</v>
          </cell>
          <cell r="T10">
            <v>93.799999999999983</v>
          </cell>
        </row>
        <row r="11">
          <cell r="R11" t="str">
            <v>20139</v>
          </cell>
          <cell r="S11">
            <v>86.35</v>
          </cell>
          <cell r="T11">
            <v>28.749999999999996</v>
          </cell>
        </row>
        <row r="12">
          <cell r="R12" t="str">
            <v>201310</v>
          </cell>
          <cell r="S12">
            <v>221.8</v>
          </cell>
          <cell r="T12">
            <v>0.4</v>
          </cell>
        </row>
        <row r="13">
          <cell r="R13" t="str">
            <v>201311</v>
          </cell>
          <cell r="S13">
            <v>478.20000000000005</v>
          </cell>
          <cell r="T13">
            <v>0</v>
          </cell>
        </row>
        <row r="14">
          <cell r="R14" t="str">
            <v>201312</v>
          </cell>
          <cell r="S14">
            <v>687.9</v>
          </cell>
          <cell r="T14">
            <v>0</v>
          </cell>
        </row>
        <row r="15">
          <cell r="R15" t="str">
            <v>20141</v>
          </cell>
          <cell r="S15">
            <v>825.90000000000009</v>
          </cell>
          <cell r="T15">
            <v>0</v>
          </cell>
        </row>
        <row r="16">
          <cell r="R16" t="str">
            <v>20142</v>
          </cell>
          <cell r="S16">
            <v>737.09999999999991</v>
          </cell>
          <cell r="T16">
            <v>0</v>
          </cell>
        </row>
        <row r="17">
          <cell r="R17" t="str">
            <v>20143</v>
          </cell>
          <cell r="S17">
            <v>690.6</v>
          </cell>
          <cell r="T17">
            <v>0</v>
          </cell>
        </row>
        <row r="18">
          <cell r="R18" t="str">
            <v>20144</v>
          </cell>
          <cell r="S18">
            <v>356.90000000000003</v>
          </cell>
          <cell r="T18">
            <v>0</v>
          </cell>
        </row>
        <row r="19">
          <cell r="R19" t="str">
            <v>20145</v>
          </cell>
          <cell r="S19">
            <v>132.10000000000005</v>
          </cell>
          <cell r="T19">
            <v>11.9</v>
          </cell>
        </row>
        <row r="20">
          <cell r="R20" t="str">
            <v>20146</v>
          </cell>
          <cell r="S20">
            <v>14.1</v>
          </cell>
          <cell r="T20">
            <v>68.099999999999994</v>
          </cell>
        </row>
        <row r="21">
          <cell r="R21" t="str">
            <v>20147</v>
          </cell>
          <cell r="S21">
            <v>4</v>
          </cell>
          <cell r="T21">
            <v>71</v>
          </cell>
        </row>
        <row r="22">
          <cell r="R22" t="str">
            <v>20148</v>
          </cell>
          <cell r="S22">
            <v>8.7999999999999989</v>
          </cell>
          <cell r="T22">
            <v>81.799999999999983</v>
          </cell>
        </row>
        <row r="23">
          <cell r="R23" t="str">
            <v>20149</v>
          </cell>
          <cell r="S23">
            <v>69.700000000000017</v>
          </cell>
          <cell r="T23">
            <v>30.099999999999998</v>
          </cell>
        </row>
        <row r="24">
          <cell r="R24" t="str">
            <v>201410</v>
          </cell>
          <cell r="S24">
            <v>224.30000000000004</v>
          </cell>
          <cell r="T24">
            <v>1.3</v>
          </cell>
        </row>
        <row r="25">
          <cell r="R25" t="str">
            <v>201411</v>
          </cell>
          <cell r="S25">
            <v>482.1</v>
          </cell>
          <cell r="T25">
            <v>0</v>
          </cell>
        </row>
        <row r="26">
          <cell r="R26" t="str">
            <v>201412</v>
          </cell>
          <cell r="S26">
            <v>557.29999999999995</v>
          </cell>
          <cell r="T26">
            <v>0</v>
          </cell>
        </row>
        <row r="27">
          <cell r="R27" t="str">
            <v>20151</v>
          </cell>
          <cell r="S27">
            <v>792.39999999999975</v>
          </cell>
          <cell r="T27">
            <v>0</v>
          </cell>
        </row>
        <row r="28">
          <cell r="R28" t="str">
            <v>20152</v>
          </cell>
          <cell r="S28">
            <v>856.8</v>
          </cell>
          <cell r="T28">
            <v>0</v>
          </cell>
        </row>
        <row r="29">
          <cell r="R29" t="str">
            <v>20153</v>
          </cell>
          <cell r="S29">
            <v>615.49999999999989</v>
          </cell>
          <cell r="T29">
            <v>0</v>
          </cell>
        </row>
        <row r="30">
          <cell r="R30" t="str">
            <v>20154</v>
          </cell>
          <cell r="S30">
            <v>313.7</v>
          </cell>
          <cell r="T30">
            <v>0</v>
          </cell>
        </row>
        <row r="31">
          <cell r="R31" t="str">
            <v>20155</v>
          </cell>
          <cell r="S31">
            <v>89.3</v>
          </cell>
          <cell r="T31">
            <v>34.1</v>
          </cell>
        </row>
        <row r="32">
          <cell r="R32" t="str">
            <v>20156</v>
          </cell>
          <cell r="S32">
            <v>33.800000000000004</v>
          </cell>
          <cell r="T32">
            <v>32.299999999999997</v>
          </cell>
        </row>
        <row r="33">
          <cell r="R33" t="str">
            <v>20157</v>
          </cell>
          <cell r="S33">
            <v>4</v>
          </cell>
          <cell r="T33">
            <v>114.29999999999998</v>
          </cell>
        </row>
        <row r="34">
          <cell r="R34" t="str">
            <v>20158</v>
          </cell>
          <cell r="S34">
            <v>4.4000000000000004</v>
          </cell>
          <cell r="T34">
            <v>88.6</v>
          </cell>
        </row>
        <row r="35">
          <cell r="R35" t="str">
            <v>20159</v>
          </cell>
          <cell r="S35">
            <v>31.099999999999994</v>
          </cell>
          <cell r="T35">
            <v>81.900000000000006</v>
          </cell>
        </row>
        <row r="36">
          <cell r="R36" t="str">
            <v>201510</v>
          </cell>
          <cell r="S36">
            <v>249.8</v>
          </cell>
          <cell r="T36">
            <v>0</v>
          </cell>
        </row>
        <row r="37">
          <cell r="R37" t="str">
            <v>201511</v>
          </cell>
          <cell r="S37">
            <v>345</v>
          </cell>
          <cell r="T37">
            <v>0</v>
          </cell>
        </row>
        <row r="38">
          <cell r="R38" t="str">
            <v>201512</v>
          </cell>
          <cell r="S38">
            <v>429.70000000000005</v>
          </cell>
          <cell r="T38">
            <v>0</v>
          </cell>
        </row>
        <row r="39">
          <cell r="R39" t="str">
            <v>20161</v>
          </cell>
          <cell r="S39">
            <v>670.4</v>
          </cell>
          <cell r="T39">
            <v>0</v>
          </cell>
        </row>
        <row r="40">
          <cell r="R40" t="str">
            <v>20162</v>
          </cell>
          <cell r="S40">
            <v>588.4</v>
          </cell>
          <cell r="T40">
            <v>0</v>
          </cell>
        </row>
        <row r="41">
          <cell r="R41" t="str">
            <v>20163</v>
          </cell>
          <cell r="S41">
            <v>476.0999999999998</v>
          </cell>
          <cell r="T41">
            <v>0</v>
          </cell>
        </row>
        <row r="42">
          <cell r="R42" t="str">
            <v>20164</v>
          </cell>
          <cell r="S42">
            <v>394.8</v>
          </cell>
          <cell r="T42">
            <v>0</v>
          </cell>
        </row>
        <row r="43">
          <cell r="R43" t="str">
            <v>20165</v>
          </cell>
          <cell r="S43">
            <v>142.50000000000003</v>
          </cell>
          <cell r="T43">
            <v>36.9</v>
          </cell>
        </row>
        <row r="44">
          <cell r="R44" t="str">
            <v>20166</v>
          </cell>
          <cell r="S44">
            <v>24.200000000000003</v>
          </cell>
          <cell r="T44">
            <v>83.7</v>
          </cell>
        </row>
        <row r="45">
          <cell r="R45" t="str">
            <v>20167</v>
          </cell>
          <cell r="S45">
            <v>0</v>
          </cell>
          <cell r="T45">
            <v>176.89999999999998</v>
          </cell>
        </row>
        <row r="46">
          <cell r="R46" t="str">
            <v>20168</v>
          </cell>
          <cell r="S46">
            <v>0</v>
          </cell>
          <cell r="T46">
            <v>195.4</v>
          </cell>
        </row>
        <row r="47">
          <cell r="R47" t="str">
            <v>20169</v>
          </cell>
          <cell r="S47">
            <v>25.900000000000006</v>
          </cell>
          <cell r="T47">
            <v>69.400000000000006</v>
          </cell>
        </row>
        <row r="48">
          <cell r="R48" t="str">
            <v>201610</v>
          </cell>
          <cell r="S48">
            <v>194.20000000000002</v>
          </cell>
          <cell r="T48">
            <v>4.0999999999999996</v>
          </cell>
        </row>
        <row r="49">
          <cell r="R49" t="str">
            <v>201611</v>
          </cell>
          <cell r="S49">
            <v>337.80000000000007</v>
          </cell>
          <cell r="T49">
            <v>0</v>
          </cell>
        </row>
        <row r="50">
          <cell r="R50" t="str">
            <v>201612</v>
          </cell>
          <cell r="S50">
            <v>607.99999999999989</v>
          </cell>
          <cell r="T50">
            <v>0</v>
          </cell>
        </row>
        <row r="51">
          <cell r="R51" t="str">
            <v>20171</v>
          </cell>
          <cell r="S51">
            <v>608.9</v>
          </cell>
          <cell r="T51">
            <v>0</v>
          </cell>
        </row>
        <row r="52">
          <cell r="R52" t="str">
            <v>20172</v>
          </cell>
          <cell r="S52">
            <v>510.4</v>
          </cell>
          <cell r="T52">
            <v>0</v>
          </cell>
        </row>
        <row r="53">
          <cell r="R53" t="str">
            <v>20173</v>
          </cell>
          <cell r="S53">
            <v>574</v>
          </cell>
          <cell r="T53">
            <v>0</v>
          </cell>
        </row>
        <row r="54">
          <cell r="R54" t="str">
            <v>20174</v>
          </cell>
          <cell r="S54">
            <v>257.49999999999994</v>
          </cell>
          <cell r="T54">
            <v>0</v>
          </cell>
        </row>
        <row r="55">
          <cell r="R55" t="str">
            <v>20175</v>
          </cell>
          <cell r="S55">
            <v>177</v>
          </cell>
          <cell r="T55">
            <v>9</v>
          </cell>
        </row>
        <row r="56">
          <cell r="R56" t="str">
            <v>20176</v>
          </cell>
          <cell r="S56">
            <v>26.699999999999996</v>
          </cell>
          <cell r="T56">
            <v>68.2</v>
          </cell>
        </row>
        <row r="57">
          <cell r="R57" t="str">
            <v>20177</v>
          </cell>
          <cell r="S57">
            <v>0</v>
          </cell>
          <cell r="T57">
            <v>116.49999999999999</v>
          </cell>
        </row>
        <row r="58">
          <cell r="R58" t="str">
            <v>20178</v>
          </cell>
          <cell r="S58">
            <v>11.6</v>
          </cell>
          <cell r="T58">
            <v>75.2</v>
          </cell>
        </row>
        <row r="59">
          <cell r="R59" t="str">
            <v>20179</v>
          </cell>
          <cell r="S59">
            <v>49.1</v>
          </cell>
          <cell r="T59">
            <v>71.499999999999986</v>
          </cell>
        </row>
        <row r="60">
          <cell r="R60" t="str">
            <v>201710</v>
          </cell>
          <cell r="S60">
            <v>153.99999999999997</v>
          </cell>
          <cell r="T60">
            <v>8.1</v>
          </cell>
        </row>
        <row r="61">
          <cell r="R61" t="str">
            <v>201711</v>
          </cell>
          <cell r="S61">
            <v>429.35</v>
          </cell>
          <cell r="T61">
            <v>0</v>
          </cell>
        </row>
        <row r="62">
          <cell r="R62" t="str">
            <v>201712</v>
          </cell>
          <cell r="S62">
            <v>718.49999999999989</v>
          </cell>
          <cell r="T62">
            <v>0</v>
          </cell>
        </row>
        <row r="63">
          <cell r="R63" t="str">
            <v>20181</v>
          </cell>
          <cell r="S63">
            <v>732.29999999999984</v>
          </cell>
          <cell r="T63">
            <v>0</v>
          </cell>
        </row>
        <row r="64">
          <cell r="R64" t="str">
            <v>20182</v>
          </cell>
          <cell r="S64">
            <v>555.00000000000023</v>
          </cell>
          <cell r="T64">
            <v>0</v>
          </cell>
        </row>
        <row r="65">
          <cell r="R65" t="str">
            <v>20183</v>
          </cell>
          <cell r="S65">
            <v>553.99999999999989</v>
          </cell>
          <cell r="T65">
            <v>0</v>
          </cell>
        </row>
        <row r="66">
          <cell r="R66" t="str">
            <v>20184</v>
          </cell>
          <cell r="S66">
            <v>437.20000000000005</v>
          </cell>
          <cell r="T66">
            <v>0</v>
          </cell>
        </row>
        <row r="67">
          <cell r="R67" t="str">
            <v>20185</v>
          </cell>
          <cell r="S67">
            <v>75.3</v>
          </cell>
          <cell r="T67">
            <v>43.4</v>
          </cell>
        </row>
        <row r="68">
          <cell r="R68" t="str">
            <v>20186</v>
          </cell>
          <cell r="S68">
            <v>14.799999999999999</v>
          </cell>
          <cell r="T68">
            <v>60.5</v>
          </cell>
        </row>
        <row r="69">
          <cell r="R69" t="str">
            <v>20187</v>
          </cell>
          <cell r="S69">
            <v>0</v>
          </cell>
          <cell r="T69">
            <v>167.8</v>
          </cell>
        </row>
        <row r="70">
          <cell r="R70" t="str">
            <v>20188</v>
          </cell>
          <cell r="S70">
            <v>1.2</v>
          </cell>
          <cell r="T70">
            <v>162.4</v>
          </cell>
        </row>
        <row r="71">
          <cell r="R71" t="str">
            <v>20189</v>
          </cell>
          <cell r="S71">
            <v>45.04999999999999</v>
          </cell>
          <cell r="T71">
            <v>76.399999999999977</v>
          </cell>
        </row>
        <row r="72">
          <cell r="R72" t="str">
            <v>201810</v>
          </cell>
          <cell r="S72">
            <v>289.40000000000003</v>
          </cell>
          <cell r="T72">
            <v>8.1999999999999993</v>
          </cell>
        </row>
        <row r="73">
          <cell r="R73" t="str">
            <v>201811</v>
          </cell>
          <cell r="S73">
            <v>494.1</v>
          </cell>
          <cell r="T73">
            <v>0</v>
          </cell>
        </row>
        <row r="74">
          <cell r="R74" t="str">
            <v>201812</v>
          </cell>
          <cell r="S74">
            <v>563.60000000000014</v>
          </cell>
          <cell r="T74">
            <v>0</v>
          </cell>
        </row>
        <row r="75">
          <cell r="R75" t="str">
            <v>20191</v>
          </cell>
          <cell r="S75">
            <v>764.5</v>
          </cell>
          <cell r="T75">
            <v>0</v>
          </cell>
        </row>
        <row r="76">
          <cell r="R76" t="str">
            <v>20192</v>
          </cell>
          <cell r="S76">
            <v>621.70000000000016</v>
          </cell>
          <cell r="T76">
            <v>0</v>
          </cell>
        </row>
        <row r="77">
          <cell r="R77" t="str">
            <v>20193</v>
          </cell>
          <cell r="S77">
            <v>593.90000000000009</v>
          </cell>
          <cell r="T77">
            <v>0</v>
          </cell>
        </row>
        <row r="78">
          <cell r="R78" t="str">
            <v>20194</v>
          </cell>
          <cell r="S78">
            <v>346.8</v>
          </cell>
          <cell r="T78">
            <v>0</v>
          </cell>
        </row>
        <row r="79">
          <cell r="R79" t="str">
            <v>20195</v>
          </cell>
          <cell r="S79">
            <v>189.94999999999996</v>
          </cell>
          <cell r="T79">
            <v>0</v>
          </cell>
        </row>
        <row r="80">
          <cell r="R80" t="str">
            <v>20196</v>
          </cell>
          <cell r="S80">
            <v>35.5</v>
          </cell>
          <cell r="T80">
            <v>41.300000000000004</v>
          </cell>
        </row>
        <row r="81">
          <cell r="R81" t="str">
            <v>20197</v>
          </cell>
          <cell r="S81">
            <v>0</v>
          </cell>
          <cell r="T81">
            <v>166.90000000000003</v>
          </cell>
        </row>
        <row r="82">
          <cell r="R82" t="str">
            <v>20198</v>
          </cell>
          <cell r="S82">
            <v>0.89999999999999991</v>
          </cell>
          <cell r="T82">
            <v>103.30000000000003</v>
          </cell>
        </row>
        <row r="83">
          <cell r="R83" t="str">
            <v>20199</v>
          </cell>
          <cell r="S83">
            <v>38.400000000000006</v>
          </cell>
          <cell r="T83">
            <v>25.400000000000002</v>
          </cell>
        </row>
        <row r="84">
          <cell r="R84" t="str">
            <v>201910</v>
          </cell>
          <cell r="S84">
            <v>236.5</v>
          </cell>
          <cell r="T84">
            <v>5.0999999999999996</v>
          </cell>
        </row>
        <row r="85">
          <cell r="R85" t="str">
            <v>201911</v>
          </cell>
          <cell r="S85">
            <v>513.30000000000007</v>
          </cell>
          <cell r="T85">
            <v>0</v>
          </cell>
        </row>
        <row r="86">
          <cell r="R86" t="str">
            <v>201912</v>
          </cell>
          <cell r="S86">
            <v>582.4</v>
          </cell>
          <cell r="T86">
            <v>0</v>
          </cell>
        </row>
        <row r="87">
          <cell r="R87" t="str">
            <v>20201</v>
          </cell>
          <cell r="S87">
            <v>605</v>
          </cell>
          <cell r="T87">
            <v>0</v>
          </cell>
        </row>
        <row r="88">
          <cell r="R88" t="str">
            <v>20202</v>
          </cell>
          <cell r="S88">
            <v>611.79999999999995</v>
          </cell>
          <cell r="T88">
            <v>0</v>
          </cell>
        </row>
        <row r="89">
          <cell r="R89" t="str">
            <v>20203</v>
          </cell>
          <cell r="S89">
            <v>458.69999999999993</v>
          </cell>
          <cell r="T89">
            <v>0</v>
          </cell>
        </row>
        <row r="90">
          <cell r="R90" t="str">
            <v>20204</v>
          </cell>
          <cell r="S90">
            <v>362.2999999999999</v>
          </cell>
          <cell r="T90">
            <v>0</v>
          </cell>
        </row>
        <row r="91">
          <cell r="R91" t="str">
            <v>20205</v>
          </cell>
          <cell r="S91">
            <v>208.09999999999997</v>
          </cell>
          <cell r="T91">
            <v>24.2</v>
          </cell>
        </row>
        <row r="92">
          <cell r="R92" t="str">
            <v>20206</v>
          </cell>
          <cell r="S92">
            <v>23.799999999999997</v>
          </cell>
          <cell r="T92">
            <v>97.700000000000017</v>
          </cell>
        </row>
        <row r="93">
          <cell r="R93" t="str">
            <v>20207</v>
          </cell>
          <cell r="S93">
            <v>0</v>
          </cell>
          <cell r="T93">
            <v>215.7</v>
          </cell>
        </row>
        <row r="94">
          <cell r="R94" t="str">
            <v>20208</v>
          </cell>
          <cell r="S94">
            <v>0.8</v>
          </cell>
          <cell r="T94">
            <v>126.69999999999999</v>
          </cell>
        </row>
        <row r="95">
          <cell r="R95" t="str">
            <v>20209</v>
          </cell>
          <cell r="S95">
            <v>69.100000000000009</v>
          </cell>
          <cell r="T95">
            <v>33.300000000000004</v>
          </cell>
        </row>
        <row r="96">
          <cell r="R96" t="str">
            <v>202010</v>
          </cell>
          <cell r="S96">
            <v>270.3</v>
          </cell>
          <cell r="T96">
            <v>0</v>
          </cell>
        </row>
        <row r="97">
          <cell r="R97" t="str">
            <v>202011</v>
          </cell>
          <cell r="S97">
            <v>334.79999999999995</v>
          </cell>
          <cell r="T97">
            <v>0</v>
          </cell>
        </row>
        <row r="98">
          <cell r="R98" t="str">
            <v>202012</v>
          </cell>
          <cell r="S98">
            <v>567.29999999999995</v>
          </cell>
          <cell r="T98">
            <v>0</v>
          </cell>
        </row>
        <row r="99">
          <cell r="R99" t="str">
            <v>20211</v>
          </cell>
          <cell r="S99">
            <v>642.64999999999986</v>
          </cell>
          <cell r="T99">
            <v>0</v>
          </cell>
        </row>
        <row r="100">
          <cell r="R100" t="str">
            <v>20212</v>
          </cell>
          <cell r="S100">
            <v>653</v>
          </cell>
          <cell r="T100">
            <v>0</v>
          </cell>
        </row>
        <row r="101">
          <cell r="R101" t="str">
            <v>20213</v>
          </cell>
          <cell r="S101">
            <v>460.70000000000005</v>
          </cell>
          <cell r="T101">
            <v>0</v>
          </cell>
        </row>
        <row r="102">
          <cell r="R102" t="str">
            <v>20214</v>
          </cell>
          <cell r="S102">
            <v>302.39999999999998</v>
          </cell>
          <cell r="T102">
            <v>0</v>
          </cell>
        </row>
        <row r="103">
          <cell r="R103" t="str">
            <v>20215</v>
          </cell>
          <cell r="S103">
            <v>164.2</v>
          </cell>
          <cell r="T103">
            <v>27.9</v>
          </cell>
        </row>
        <row r="104">
          <cell r="R104" t="str">
            <v>20216</v>
          </cell>
          <cell r="S104">
            <v>7.0000000000000009</v>
          </cell>
          <cell r="T104">
            <v>121.99999999999999</v>
          </cell>
        </row>
        <row r="105">
          <cell r="R105" t="str">
            <v>20217</v>
          </cell>
          <cell r="S105">
            <v>4.4000000000000004</v>
          </cell>
          <cell r="T105">
            <v>105.75000000000001</v>
          </cell>
        </row>
        <row r="106">
          <cell r="R106" t="str">
            <v>20218</v>
          </cell>
          <cell r="S106">
            <v>0.85</v>
          </cell>
          <cell r="T106">
            <v>179</v>
          </cell>
        </row>
        <row r="107">
          <cell r="R107" t="str">
            <v>20219</v>
          </cell>
          <cell r="S107">
            <v>35.6</v>
          </cell>
          <cell r="T107">
            <v>24.900000000000002</v>
          </cell>
        </row>
        <row r="108">
          <cell r="R108" t="str">
            <v>202110</v>
          </cell>
          <cell r="S108">
            <v>145.19999999999999</v>
          </cell>
          <cell r="T108">
            <v>5.6000000000000005</v>
          </cell>
        </row>
        <row r="109">
          <cell r="R109" t="str">
            <v>202111</v>
          </cell>
          <cell r="S109">
            <v>413.7</v>
          </cell>
          <cell r="T109">
            <v>0</v>
          </cell>
        </row>
        <row r="110">
          <cell r="R110" t="str">
            <v>202112</v>
          </cell>
          <cell r="S110">
            <v>500.6</v>
          </cell>
          <cell r="T110">
            <v>0</v>
          </cell>
        </row>
        <row r="111">
          <cell r="R111" t="str">
            <v>20221</v>
          </cell>
          <cell r="S111">
            <v>809.35</v>
          </cell>
          <cell r="T111">
            <v>0</v>
          </cell>
        </row>
        <row r="112">
          <cell r="R112" t="str">
            <v>20222</v>
          </cell>
          <cell r="S112">
            <v>626.54999999999995</v>
          </cell>
          <cell r="T112">
            <v>0</v>
          </cell>
        </row>
        <row r="113">
          <cell r="R113" t="str">
            <v>20223</v>
          </cell>
          <cell r="S113">
            <v>523.90000000000009</v>
          </cell>
          <cell r="T113">
            <v>0</v>
          </cell>
        </row>
        <row r="114">
          <cell r="R114" t="str">
            <v>20224</v>
          </cell>
          <cell r="S114">
            <v>339.94999999999993</v>
          </cell>
          <cell r="T114">
            <v>0</v>
          </cell>
        </row>
        <row r="115">
          <cell r="R115" t="str">
            <v>20225</v>
          </cell>
          <cell r="S115">
            <v>108.24999999999997</v>
          </cell>
          <cell r="T115">
            <v>36.75</v>
          </cell>
        </row>
        <row r="116">
          <cell r="R116" t="str">
            <v>20226</v>
          </cell>
          <cell r="S116">
            <v>17.699999999999996</v>
          </cell>
          <cell r="T116">
            <v>64.2</v>
          </cell>
        </row>
        <row r="117">
          <cell r="R117" t="str">
            <v>20227</v>
          </cell>
          <cell r="S117">
            <v>0</v>
          </cell>
          <cell r="T117">
            <v>144.69999999999996</v>
          </cell>
        </row>
        <row r="118">
          <cell r="R118" t="str">
            <v>20228</v>
          </cell>
          <cell r="S118">
            <v>0</v>
          </cell>
          <cell r="T118">
            <v>140.49999999999997</v>
          </cell>
        </row>
        <row r="119">
          <cell r="R119" t="str">
            <v>20229</v>
          </cell>
          <cell r="S119">
            <v>52.3</v>
          </cell>
          <cell r="T119">
            <v>49.15</v>
          </cell>
        </row>
        <row r="120">
          <cell r="R120" t="str">
            <v>202210</v>
          </cell>
          <cell r="S120">
            <v>236.70000000000002</v>
          </cell>
          <cell r="T120">
            <v>0.2</v>
          </cell>
        </row>
        <row r="121">
          <cell r="R121" t="str">
            <v>202211</v>
          </cell>
          <cell r="S121">
            <v>380.09999999999997</v>
          </cell>
          <cell r="T121">
            <v>0.9</v>
          </cell>
        </row>
        <row r="122">
          <cell r="R122" t="str">
            <v>202212</v>
          </cell>
          <cell r="S122">
            <v>575.29999999999984</v>
          </cell>
          <cell r="T122">
            <v>0</v>
          </cell>
        </row>
        <row r="123">
          <cell r="R123" t="str">
            <v>20231</v>
          </cell>
          <cell r="S123">
            <v>0</v>
          </cell>
          <cell r="T123">
            <v>0</v>
          </cell>
        </row>
        <row r="124">
          <cell r="R124" t="str">
            <v>20232</v>
          </cell>
          <cell r="S124">
            <v>0</v>
          </cell>
          <cell r="T124">
            <v>0</v>
          </cell>
        </row>
        <row r="125">
          <cell r="R125" t="str">
            <v>20233</v>
          </cell>
          <cell r="S125">
            <v>0</v>
          </cell>
          <cell r="T125">
            <v>0</v>
          </cell>
        </row>
        <row r="126">
          <cell r="R126" t="str">
            <v>20234</v>
          </cell>
          <cell r="S126">
            <v>0</v>
          </cell>
          <cell r="T126">
            <v>0</v>
          </cell>
        </row>
        <row r="127">
          <cell r="R127" t="str">
            <v>20235</v>
          </cell>
          <cell r="S127">
            <v>0</v>
          </cell>
          <cell r="T127">
            <v>0</v>
          </cell>
        </row>
        <row r="128">
          <cell r="R128" t="str">
            <v>20236</v>
          </cell>
          <cell r="S128">
            <v>0</v>
          </cell>
          <cell r="T128">
            <v>0</v>
          </cell>
        </row>
        <row r="129">
          <cell r="R129" t="str">
            <v>20237</v>
          </cell>
          <cell r="S129">
            <v>0</v>
          </cell>
          <cell r="T129">
            <v>0</v>
          </cell>
        </row>
        <row r="130">
          <cell r="R130" t="str">
            <v>20238</v>
          </cell>
          <cell r="S130">
            <v>0</v>
          </cell>
          <cell r="T130">
            <v>0</v>
          </cell>
        </row>
        <row r="131">
          <cell r="R131" t="str">
            <v>20239</v>
          </cell>
          <cell r="S131">
            <v>0</v>
          </cell>
          <cell r="T131">
            <v>0</v>
          </cell>
        </row>
        <row r="132">
          <cell r="R132" t="str">
            <v>202310</v>
          </cell>
          <cell r="S132">
            <v>0</v>
          </cell>
          <cell r="T132">
            <v>0</v>
          </cell>
        </row>
        <row r="133">
          <cell r="R133" t="str">
            <v>202311</v>
          </cell>
          <cell r="S133">
            <v>0</v>
          </cell>
          <cell r="T133">
            <v>0</v>
          </cell>
        </row>
        <row r="134">
          <cell r="R134" t="str">
            <v>202312</v>
          </cell>
          <cell r="S134">
            <v>0</v>
          </cell>
          <cell r="T134">
            <v>0</v>
          </cell>
        </row>
        <row r="135">
          <cell r="R135" t="str">
            <v>20241</v>
          </cell>
          <cell r="S135">
            <v>0</v>
          </cell>
          <cell r="T135">
            <v>0</v>
          </cell>
        </row>
        <row r="136">
          <cell r="R136" t="str">
            <v>20242</v>
          </cell>
          <cell r="S136">
            <v>0</v>
          </cell>
          <cell r="T136">
            <v>0</v>
          </cell>
        </row>
        <row r="137">
          <cell r="R137" t="str">
            <v>20243</v>
          </cell>
          <cell r="S137">
            <v>0</v>
          </cell>
          <cell r="T137">
            <v>0</v>
          </cell>
        </row>
        <row r="138">
          <cell r="R138" t="str">
            <v>20244</v>
          </cell>
          <cell r="S138">
            <v>0</v>
          </cell>
          <cell r="T138">
            <v>0</v>
          </cell>
        </row>
        <row r="139">
          <cell r="R139" t="str">
            <v>20245</v>
          </cell>
          <cell r="S139">
            <v>0</v>
          </cell>
          <cell r="T139">
            <v>0</v>
          </cell>
        </row>
        <row r="140">
          <cell r="R140" t="str">
            <v>20246</v>
          </cell>
          <cell r="S140">
            <v>0</v>
          </cell>
          <cell r="T140">
            <v>0</v>
          </cell>
        </row>
        <row r="141">
          <cell r="R141" t="str">
            <v>20247</v>
          </cell>
          <cell r="S141">
            <v>0</v>
          </cell>
          <cell r="T141">
            <v>0</v>
          </cell>
        </row>
        <row r="142">
          <cell r="R142" t="str">
            <v>20248</v>
          </cell>
          <cell r="S142">
            <v>0</v>
          </cell>
          <cell r="T142">
            <v>0</v>
          </cell>
        </row>
        <row r="143">
          <cell r="R143" t="str">
            <v>20249</v>
          </cell>
          <cell r="S143">
            <v>0</v>
          </cell>
          <cell r="T143">
            <v>0</v>
          </cell>
        </row>
        <row r="144">
          <cell r="R144" t="str">
            <v>202410</v>
          </cell>
          <cell r="S144">
            <v>0</v>
          </cell>
          <cell r="T144">
            <v>0</v>
          </cell>
        </row>
        <row r="145">
          <cell r="R145" t="str">
            <v>202411</v>
          </cell>
          <cell r="S145">
            <v>0</v>
          </cell>
          <cell r="T145">
            <v>0</v>
          </cell>
        </row>
        <row r="146">
          <cell r="R146" t="str">
            <v>202412</v>
          </cell>
          <cell r="S146">
            <v>0</v>
          </cell>
          <cell r="T146">
            <v>0</v>
          </cell>
        </row>
      </sheetData>
      <sheetData sheetId="3"/>
      <sheetData sheetId="4">
        <row r="1">
          <cell r="A1" t="str">
            <v>Input to Load Forecast Model</v>
          </cell>
        </row>
      </sheetData>
      <sheetData sheetId="5"/>
      <sheetData sheetId="6"/>
      <sheetData sheetId="7"/>
      <sheetData sheetId="8"/>
      <sheetData sheetId="9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7.kW by Month-Load Forecast"/>
      <sheetName val="6.kWh by Month-Load Forecast"/>
      <sheetName val="5.2022 RRR Submission"/>
      <sheetName val="4.Class A"/>
      <sheetName val="3.kW RPP non-RPP"/>
      <sheetName val="2.kWh RPP non-RPP"/>
      <sheetName val="Dec # customers"/>
      <sheetName val="1.kW and kWh Query"/>
      <sheetName val="Instructions"/>
      <sheetName val="Mapping Table"/>
    </sheetNames>
    <sheetDataSet>
      <sheetData sheetId="0"/>
      <sheetData sheetId="1">
        <row r="28">
          <cell r="N28">
            <v>317681.46000000008</v>
          </cell>
        </row>
        <row r="29">
          <cell r="N29">
            <v>2434.08</v>
          </cell>
        </row>
        <row r="30">
          <cell r="N30">
            <v>278.2</v>
          </cell>
        </row>
      </sheetData>
      <sheetData sheetId="2"/>
      <sheetData sheetId="3"/>
      <sheetData sheetId="4">
        <row r="43">
          <cell r="N43">
            <v>69562762.690000013</v>
          </cell>
        </row>
        <row r="62">
          <cell r="N62">
            <v>127034.69</v>
          </cell>
        </row>
      </sheetData>
      <sheetData sheetId="5">
        <row r="17">
          <cell r="R17">
            <v>0</v>
          </cell>
          <cell r="S17">
            <v>1257.76</v>
          </cell>
        </row>
        <row r="18">
          <cell r="R18">
            <v>0</v>
          </cell>
          <cell r="S18">
            <v>8122.91</v>
          </cell>
        </row>
        <row r="19">
          <cell r="R19">
            <v>216954.99000000008</v>
          </cell>
          <cell r="S19">
            <v>39051.709999999992</v>
          </cell>
        </row>
        <row r="20">
          <cell r="Q20">
            <v>13309.6</v>
          </cell>
          <cell r="S20">
            <v>0</v>
          </cell>
        </row>
        <row r="21">
          <cell r="Q21">
            <v>23682.22</v>
          </cell>
          <cell r="S21">
            <v>9769.1199999999953</v>
          </cell>
        </row>
        <row r="22">
          <cell r="R22">
            <v>5533.15</v>
          </cell>
          <cell r="S22">
            <v>0</v>
          </cell>
        </row>
        <row r="23">
          <cell r="Q23">
            <v>440.16000000000008</v>
          </cell>
        </row>
        <row r="24">
          <cell r="R24">
            <v>1993.9200000000003</v>
          </cell>
        </row>
      </sheetData>
      <sheetData sheetId="6">
        <row r="37">
          <cell r="Q37">
            <v>4714586.3276404897</v>
          </cell>
          <cell r="S37">
            <v>7162.7516458351165</v>
          </cell>
        </row>
        <row r="38">
          <cell r="Q38">
            <v>-11802.881404446143</v>
          </cell>
          <cell r="S38">
            <v>0</v>
          </cell>
        </row>
        <row r="39">
          <cell r="Q39">
            <v>89579099.475241467</v>
          </cell>
          <cell r="S39">
            <v>1096700.6583341211</v>
          </cell>
        </row>
        <row r="40">
          <cell r="Q40">
            <v>375339.18519225135</v>
          </cell>
        </row>
        <row r="41">
          <cell r="Q41">
            <v>336958.57265528105</v>
          </cell>
          <cell r="S41">
            <v>27943.068409502914</v>
          </cell>
        </row>
        <row r="42">
          <cell r="Q42">
            <v>-69934.758133765848</v>
          </cell>
          <cell r="S42">
            <v>0</v>
          </cell>
        </row>
        <row r="43">
          <cell r="Q43">
            <v>200013.30979868336</v>
          </cell>
          <cell r="S43">
            <v>0</v>
          </cell>
        </row>
        <row r="44">
          <cell r="Q44">
            <v>2080712.2221162112</v>
          </cell>
          <cell r="S44">
            <v>0</v>
          </cell>
        </row>
        <row r="45">
          <cell r="Q45">
            <v>27547400.715580583</v>
          </cell>
          <cell r="S45">
            <v>5123183.5321057141</v>
          </cell>
        </row>
        <row r="46">
          <cell r="R46">
            <v>0</v>
          </cell>
          <cell r="S46">
            <v>651100.84915561497</v>
          </cell>
        </row>
        <row r="47">
          <cell r="R47">
            <v>0</v>
          </cell>
          <cell r="S47">
            <v>4038723.8145215148</v>
          </cell>
        </row>
        <row r="48">
          <cell r="R48">
            <v>99838204.904112145</v>
          </cell>
          <cell r="S48">
            <v>15941694.695162669</v>
          </cell>
        </row>
        <row r="49">
          <cell r="Q49">
            <v>5824029.3292624773</v>
          </cell>
          <cell r="S49">
            <v>0</v>
          </cell>
        </row>
        <row r="50">
          <cell r="Q50">
            <v>5005656.1015170347</v>
          </cell>
          <cell r="S50">
            <v>2323784.1045701746</v>
          </cell>
        </row>
        <row r="51">
          <cell r="R51">
            <v>2536172.2927201604</v>
          </cell>
          <cell r="S51">
            <v>0</v>
          </cell>
        </row>
        <row r="52">
          <cell r="Q52">
            <v>159687.48211048558</v>
          </cell>
        </row>
        <row r="53">
          <cell r="R53">
            <v>715318.79591642029</v>
          </cell>
        </row>
        <row r="54">
          <cell r="Q54">
            <v>99742.972998759782</v>
          </cell>
        </row>
      </sheetData>
      <sheetData sheetId="7"/>
      <sheetData sheetId="8"/>
      <sheetData sheetId="9"/>
      <sheetData sheetId="1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DC Info"/>
      <sheetName val="Index"/>
      <sheetName val="COS Flowchart"/>
      <sheetName val="List of Key References"/>
      <sheetName val="App.2-A_Requested_Approvals"/>
      <sheetName val="App.2-AA_Capital Projects"/>
      <sheetName val="App.2-AB_Capital Expenditures"/>
      <sheetName val="2.1.7 - System OM (2-AB)"/>
      <sheetName val="Hidden_CAPEX"/>
      <sheetName val="App.2-AC_Customer Engagement"/>
      <sheetName val="App.2-B_Acctg Instructions"/>
      <sheetName val="App.2-BA_Fixed Asset Cont"/>
      <sheetName val="Appendix 2-BB Service Life  "/>
      <sheetName val="App.2-C_DepExp"/>
      <sheetName val="App.2-D_Overhead"/>
      <sheetName val="App.2-EA_Account 1575 (2015)"/>
      <sheetName val="App.2-EB_Account 1576 (2012)"/>
      <sheetName val="App.2-EC_Account 1576 (2013)"/>
      <sheetName val="Hidden_REG Invest."/>
      <sheetName val="Hidden_REG Improvement"/>
      <sheetName val="Hidden_REG Expansion"/>
      <sheetName val="App.2-FA Proposed REG Invest."/>
      <sheetName val="App.2-FB Calc of REG Improvemnt"/>
      <sheetName val="2.1.5.6"/>
      <sheetName val="App.2-FC Calc of REG Expansion"/>
      <sheetName val="App.2-G SQI"/>
      <sheetName val="2.1.4 SAIDI SAIFI"/>
      <sheetName val="2.1.4_ServiceQuality"/>
      <sheetName val="2018 Adjusted SAIDI and SAIFI"/>
      <sheetName val="2019 Adjusted SAIDI and SAIFI"/>
      <sheetName val="2020"/>
      <sheetName val="2.1.4_ServiceQuality old"/>
      <sheetName val="App.2-H_Other_Oper_Rev"/>
      <sheetName val="Hidden_Other Revenue"/>
      <sheetName val="Several_Accounts"/>
      <sheetName val="App_2-I LF_CDM"/>
      <sheetName val="lists"/>
      <sheetName val="2.1.7  All Accounts"/>
      <sheetName val="App.2-IA_Load_Forecast_Instrct"/>
      <sheetName val="App.2-IB_Load_Forecast_Analysis"/>
      <sheetName val="2.1.2"/>
      <sheetName val="2.1.5.4"/>
      <sheetName val="App.2-JA_OM&amp;A_Summary_Analys"/>
      <sheetName val="Hidden_OM&amp;A Summary"/>
      <sheetName val="OM&amp;A_Expenses"/>
      <sheetName val="App.2-JB_OM&amp;A_Cost _Drivers"/>
      <sheetName val="App.2-JC_OMA Programs"/>
      <sheetName val="App.2-JD_OMA Programs"/>
      <sheetName val="App.2-K_Employee Costs"/>
      <sheetName val="Hidden_Employee Costs"/>
      <sheetName val="FTE"/>
      <sheetName val="App.2-L_OM&amp;A_per_Cust_FTE"/>
      <sheetName val="App.2-L_OM&amp;A_per_Cust_FTEE_exp"/>
      <sheetName val="App.2-M_Regulatory_Costs"/>
      <sheetName val="Hidden_RegulatoryCosts1"/>
      <sheetName val="Hidden_RegulatoryCosts2"/>
      <sheetName val="App.2-N_Corp_Cost_Allocation"/>
      <sheetName val="App.2-OA Capital Structure"/>
      <sheetName val="App.2-OB_Debt Instruments"/>
      <sheetName val="App.2-Q_Cost of Serv. Emb. Dx"/>
      <sheetName val="App.2-R_Loss Factors"/>
      <sheetName val="App.2-ZA_Com. Exp. Forecast"/>
      <sheetName val="App.2-ZB_Cost of Power"/>
      <sheetName val="App.2-S_Stranded Meters"/>
      <sheetName val="App.2-Y_MIFRS Summary Impacts"/>
      <sheetName val="Sheet19"/>
      <sheetName val="App.2-YA_IFRS Transition Cost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>
        <row r="27">
          <cell r="J27">
            <v>1.0491051036649899</v>
          </cell>
        </row>
      </sheetData>
      <sheetData sheetId="61"/>
      <sheetData sheetId="62"/>
      <sheetData sheetId="63"/>
      <sheetData sheetId="64"/>
      <sheetData sheetId="65"/>
      <sheetData sheetId="66"/>
      <sheetData sheetId="67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  <sheetName val="Summary"/>
      <sheetName val="Roechling Virtual"/>
      <sheetName val="verify 2022"/>
      <sheetName val="Roechling Feeder 2 "/>
      <sheetName val="Roechling Feeder 1"/>
      <sheetName val="Roechling_Archive"/>
      <sheetName val="841710"/>
      <sheetName val="845510"/>
    </sheetNames>
    <sheetDataSet>
      <sheetData sheetId="0">
        <row r="3">
          <cell r="D3">
            <v>10742356.61247734</v>
          </cell>
          <cell r="I3">
            <v>23652.342915440906</v>
          </cell>
        </row>
        <row r="4">
          <cell r="D4">
            <v>9318816.1420805641</v>
          </cell>
          <cell r="I4">
            <v>23057.883142070528</v>
          </cell>
        </row>
        <row r="5">
          <cell r="D5">
            <v>10236169.109442228</v>
          </cell>
          <cell r="I5">
            <v>23190.607747196911</v>
          </cell>
        </row>
        <row r="6">
          <cell r="D6">
            <v>9762675.8295746874</v>
          </cell>
          <cell r="I6">
            <v>23848.576949868613</v>
          </cell>
        </row>
        <row r="7">
          <cell r="D7">
            <v>10105757.355598796</v>
          </cell>
          <cell r="I7">
            <v>25133.018627245474</v>
          </cell>
        </row>
        <row r="8">
          <cell r="D8">
            <v>9879884.0499149896</v>
          </cell>
          <cell r="I8">
            <v>24716.811681319825</v>
          </cell>
        </row>
        <row r="9">
          <cell r="D9">
            <v>10249620.136216294</v>
          </cell>
          <cell r="I9">
            <v>24990.128891455945</v>
          </cell>
        </row>
        <row r="10">
          <cell r="D10">
            <v>10395454.675631333</v>
          </cell>
          <cell r="I10">
            <v>24842.763918676581</v>
          </cell>
        </row>
        <row r="11">
          <cell r="D11">
            <v>9874470.2348553762</v>
          </cell>
          <cell r="I11">
            <v>25320.420773470396</v>
          </cell>
        </row>
        <row r="12">
          <cell r="D12">
            <v>10439834.44113663</v>
          </cell>
          <cell r="I12">
            <v>24358.571209889429</v>
          </cell>
        </row>
        <row r="13">
          <cell r="D13">
            <v>10059098.879201794</v>
          </cell>
          <cell r="I13">
            <v>23363.748300335461</v>
          </cell>
        </row>
        <row r="14">
          <cell r="D14">
            <v>9894702.0637099501</v>
          </cell>
          <cell r="I14">
            <v>23611.905653502614</v>
          </cell>
        </row>
        <row r="15">
          <cell r="D15">
            <v>10582609.979404638</v>
          </cell>
          <cell r="I15">
            <v>24974.097931318676</v>
          </cell>
        </row>
        <row r="16">
          <cell r="D16">
            <v>9799176.3163809571</v>
          </cell>
          <cell r="I16">
            <v>23610.931945116918</v>
          </cell>
        </row>
        <row r="17">
          <cell r="D17">
            <v>10859744.503423337</v>
          </cell>
          <cell r="I17">
            <v>23537.008012368868</v>
          </cell>
        </row>
        <row r="18">
          <cell r="D18">
            <v>9723186.9973118491</v>
          </cell>
          <cell r="I18">
            <v>23338.504273919869</v>
          </cell>
        </row>
        <row r="19">
          <cell r="D19">
            <v>10103187.680509016</v>
          </cell>
          <cell r="I19">
            <v>24745.653084963869</v>
          </cell>
        </row>
        <row r="20">
          <cell r="D20">
            <v>10313348.418525618</v>
          </cell>
          <cell r="I20">
            <v>24817.275204276935</v>
          </cell>
        </row>
        <row r="21">
          <cell r="D21">
            <v>10533981.86190602</v>
          </cell>
          <cell r="I21">
            <v>25066.77500901547</v>
          </cell>
        </row>
        <row r="22">
          <cell r="D22">
            <v>10516551.167014407</v>
          </cell>
          <cell r="I22">
            <v>24891.95078608223</v>
          </cell>
        </row>
        <row r="23">
          <cell r="D23">
            <v>10493808.316937126</v>
          </cell>
          <cell r="I23">
            <v>26340.691633010807</v>
          </cell>
        </row>
        <row r="24">
          <cell r="D24">
            <v>10593354.028543459</v>
          </cell>
          <cell r="I24">
            <v>28241.293893678059</v>
          </cell>
        </row>
        <row r="25">
          <cell r="D25">
            <v>10496189.641226124</v>
          </cell>
          <cell r="I25">
            <v>21578.466772785716</v>
          </cell>
        </row>
        <row r="26">
          <cell r="D26">
            <v>10082962.762310753</v>
          </cell>
          <cell r="I26">
            <v>24184.012931168745</v>
          </cell>
        </row>
        <row r="27">
          <cell r="D27">
            <v>10843915.526904207</v>
          </cell>
          <cell r="I27">
            <v>23975.194890326205</v>
          </cell>
        </row>
        <row r="28">
          <cell r="D28">
            <v>10077174.616960499</v>
          </cell>
          <cell r="I28">
            <v>23954.410546161416</v>
          </cell>
        </row>
        <row r="29">
          <cell r="D29">
            <v>10788039.380518273</v>
          </cell>
          <cell r="I29">
            <v>23405.129886305138</v>
          </cell>
        </row>
        <row r="30">
          <cell r="D30">
            <v>10207841.0129667</v>
          </cell>
          <cell r="I30">
            <v>23718.690206793366</v>
          </cell>
        </row>
        <row r="31">
          <cell r="D31">
            <v>10422580.948181376</v>
          </cell>
          <cell r="I31">
            <v>24758.488074134257</v>
          </cell>
        </row>
        <row r="32">
          <cell r="D32">
            <v>10485931.914641924</v>
          </cell>
          <cell r="I32">
            <v>24982.84831291622</v>
          </cell>
        </row>
        <row r="33">
          <cell r="D33">
            <v>10510614.235464079</v>
          </cell>
          <cell r="I33">
            <v>23739.944048142752</v>
          </cell>
        </row>
        <row r="34">
          <cell r="D34">
            <v>10524720.586289093</v>
          </cell>
          <cell r="I34">
            <v>24657.430385435579</v>
          </cell>
        </row>
        <row r="35">
          <cell r="D35">
            <v>10618102.709317336</v>
          </cell>
          <cell r="I35">
            <v>25802.932851348629</v>
          </cell>
        </row>
        <row r="36">
          <cell r="D36">
            <v>10494408.002822535</v>
          </cell>
          <cell r="I36">
            <v>23811.342862172565</v>
          </cell>
        </row>
        <row r="37">
          <cell r="D37">
            <v>10500758.140191013</v>
          </cell>
          <cell r="I37">
            <v>24163.413620559895</v>
          </cell>
        </row>
        <row r="38">
          <cell r="D38">
            <v>9904168.7005212288</v>
          </cell>
          <cell r="I38">
            <v>23485.588800747213</v>
          </cell>
        </row>
        <row r="39">
          <cell r="D39">
            <v>11034205.786847917</v>
          </cell>
          <cell r="I39">
            <v>24306.874787226767</v>
          </cell>
        </row>
        <row r="40">
          <cell r="D40">
            <v>10239195.737061158</v>
          </cell>
          <cell r="I40">
            <v>24051.740897738302</v>
          </cell>
        </row>
        <row r="41">
          <cell r="D41">
            <v>10871432.585271252</v>
          </cell>
          <cell r="I41">
            <v>24546.436207329338</v>
          </cell>
        </row>
        <row r="42">
          <cell r="D42">
            <v>10433724.295810705</v>
          </cell>
          <cell r="I42">
            <v>24587.771072138617</v>
          </cell>
        </row>
        <row r="43">
          <cell r="D43">
            <v>10247270.044491366</v>
          </cell>
          <cell r="I43">
            <v>26543.891900968822</v>
          </cell>
        </row>
        <row r="44">
          <cell r="D44">
            <v>10767708.245049423</v>
          </cell>
          <cell r="I44">
            <v>26947.446400603196</v>
          </cell>
        </row>
        <row r="45">
          <cell r="D45">
            <v>10753115.743921001</v>
          </cell>
          <cell r="I45">
            <v>26454.022107864192</v>
          </cell>
        </row>
        <row r="46">
          <cell r="D46">
            <v>11410260.192501094</v>
          </cell>
          <cell r="I46">
            <v>27178.094094595592</v>
          </cell>
        </row>
        <row r="47">
          <cell r="D47">
            <v>10663355.755610054</v>
          </cell>
          <cell r="I47">
            <v>27464.516025990102</v>
          </cell>
        </row>
        <row r="48">
          <cell r="D48">
            <v>11125820.465922428</v>
          </cell>
          <cell r="I48">
            <v>26730.518578737145</v>
          </cell>
        </row>
        <row r="49">
          <cell r="D49">
            <v>10736582.948662248</v>
          </cell>
          <cell r="I49">
            <v>25341.683979288762</v>
          </cell>
        </row>
        <row r="50">
          <cell r="D50">
            <v>9386284.0749280602</v>
          </cell>
          <cell r="I50">
            <v>24715.250006174767</v>
          </cell>
        </row>
        <row r="51">
          <cell r="D51">
            <v>11091881.779990077</v>
          </cell>
          <cell r="I51">
            <v>24194.228973266876</v>
          </cell>
        </row>
        <row r="52">
          <cell r="D52">
            <v>9914415.2719552517</v>
          </cell>
          <cell r="I52">
            <v>23808.820165809084</v>
          </cell>
        </row>
        <row r="53">
          <cell r="D53">
            <v>11134463.912526095</v>
          </cell>
          <cell r="I53">
            <v>24181.729712672721</v>
          </cell>
        </row>
        <row r="54">
          <cell r="D54">
            <v>10153718.312169641</v>
          </cell>
          <cell r="I54">
            <v>24542.563348929281</v>
          </cell>
        </row>
        <row r="55">
          <cell r="D55">
            <v>10597617.149611488</v>
          </cell>
          <cell r="I55">
            <v>25729.354776412612</v>
          </cell>
        </row>
        <row r="56">
          <cell r="D56">
            <v>10279362.870850395</v>
          </cell>
          <cell r="I56">
            <v>25501.708693176653</v>
          </cell>
        </row>
        <row r="57">
          <cell r="D57">
            <v>10530485.362861654</v>
          </cell>
          <cell r="I57">
            <v>25028.692484738549</v>
          </cell>
        </row>
        <row r="58">
          <cell r="D58">
            <v>10824212.116631428</v>
          </cell>
          <cell r="I58">
            <v>25263.828330588858</v>
          </cell>
        </row>
        <row r="59">
          <cell r="D59">
            <v>10614699.791408835</v>
          </cell>
          <cell r="I59">
            <v>26496.651746739273</v>
          </cell>
        </row>
        <row r="60">
          <cell r="D60">
            <v>10570160.737586012</v>
          </cell>
          <cell r="I60">
            <v>24503.736531471463</v>
          </cell>
        </row>
        <row r="61">
          <cell r="D61">
            <v>10701450.783997614</v>
          </cell>
          <cell r="I61">
            <v>23959.081441206425</v>
          </cell>
        </row>
        <row r="62">
          <cell r="D62">
            <v>9708859.7751040924</v>
          </cell>
          <cell r="I62">
            <v>24047.017809210276</v>
          </cell>
        </row>
        <row r="63">
          <cell r="D63">
            <v>10866796.996624272</v>
          </cell>
          <cell r="I63">
            <v>24016.983784879289</v>
          </cell>
        </row>
        <row r="64">
          <cell r="D64">
            <v>9955101.5638736766</v>
          </cell>
          <cell r="I64">
            <v>23644.400514397621</v>
          </cell>
        </row>
        <row r="65">
          <cell r="D65">
            <v>11129514.95109627</v>
          </cell>
          <cell r="I65">
            <v>23904.525500710581</v>
          </cell>
        </row>
        <row r="66">
          <cell r="D66">
            <v>10441167.537226124</v>
          </cell>
          <cell r="I66">
            <v>23934.362433175917</v>
          </cell>
        </row>
        <row r="67">
          <cell r="D67">
            <v>11060117.497148078</v>
          </cell>
          <cell r="I67">
            <v>25695.078204467827</v>
          </cell>
        </row>
        <row r="68">
          <cell r="D68">
            <v>10637560.205355119</v>
          </cell>
          <cell r="I68">
            <v>26011.128497013124</v>
          </cell>
        </row>
        <row r="69">
          <cell r="D69">
            <v>11207479.944700506</v>
          </cell>
          <cell r="I69">
            <v>25771.581255257795</v>
          </cell>
        </row>
        <row r="70">
          <cell r="D70">
            <v>11314200.400254078</v>
          </cell>
          <cell r="I70">
            <v>25915.760102041717</v>
          </cell>
        </row>
        <row r="71">
          <cell r="D71">
            <v>10886931.333087873</v>
          </cell>
          <cell r="I71">
            <v>26658.348160165475</v>
          </cell>
        </row>
        <row r="72">
          <cell r="D72">
            <v>10970571.353254078</v>
          </cell>
          <cell r="I72">
            <v>25210.144263947062</v>
          </cell>
        </row>
        <row r="73">
          <cell r="D73">
            <v>10890315.369866615</v>
          </cell>
          <cell r="I73">
            <v>24123.929821054568</v>
          </cell>
        </row>
        <row r="74">
          <cell r="D74">
            <v>9814428.064286327</v>
          </cell>
          <cell r="I74">
            <v>24965.355269473661</v>
          </cell>
        </row>
        <row r="75">
          <cell r="D75">
            <v>11247655.863902679</v>
          </cell>
          <cell r="I75">
            <v>25247.757273901047</v>
          </cell>
        </row>
        <row r="76">
          <cell r="D76">
            <v>10309241.554083768</v>
          </cell>
          <cell r="I76">
            <v>25027.533137561422</v>
          </cell>
        </row>
        <row r="77">
          <cell r="D77">
            <v>11174254.330150843</v>
          </cell>
          <cell r="I77">
            <v>24743.924690103177</v>
          </cell>
        </row>
        <row r="78">
          <cell r="D78">
            <v>10418033.620411508</v>
          </cell>
          <cell r="I78">
            <v>24602.936533422453</v>
          </cell>
        </row>
        <row r="79">
          <cell r="D79">
            <v>10869440.654281175</v>
          </cell>
          <cell r="I79">
            <v>25143.729612211358</v>
          </cell>
        </row>
        <row r="80">
          <cell r="D80">
            <v>10230346.518014692</v>
          </cell>
          <cell r="I80">
            <v>25117.969829585476</v>
          </cell>
        </row>
        <row r="81">
          <cell r="D81">
            <v>11085354.348109053</v>
          </cell>
          <cell r="I81">
            <v>25786.316971902866</v>
          </cell>
        </row>
        <row r="82">
          <cell r="D82">
            <v>10872405.545048755</v>
          </cell>
          <cell r="I82">
            <v>25395.491141429578</v>
          </cell>
        </row>
        <row r="83">
          <cell r="D83">
            <v>10632966.781942278</v>
          </cell>
          <cell r="I83">
            <v>25689.934530110091</v>
          </cell>
        </row>
        <row r="84">
          <cell r="D84">
            <v>11048394.653665682</v>
          </cell>
          <cell r="I84">
            <v>25410.322412268833</v>
          </cell>
        </row>
        <row r="85">
          <cell r="D85">
            <v>10855100.152061444</v>
          </cell>
          <cell r="I85">
            <v>24361.761197702446</v>
          </cell>
        </row>
        <row r="86">
          <cell r="D86">
            <v>9711545.1041381918</v>
          </cell>
          <cell r="I86">
            <v>24371.143861325294</v>
          </cell>
        </row>
        <row r="87">
          <cell r="D87">
            <v>10993080.649995323</v>
          </cell>
          <cell r="I87">
            <v>23198.793388339363</v>
          </cell>
        </row>
        <row r="88">
          <cell r="D88">
            <v>10113206.731265051</v>
          </cell>
          <cell r="I88">
            <v>23154.172588670273</v>
          </cell>
        </row>
        <row r="89">
          <cell r="D89">
            <v>10508268.964752026</v>
          </cell>
          <cell r="I89">
            <v>23138.154154862754</v>
          </cell>
        </row>
        <row r="90">
          <cell r="D90">
            <v>8690154.4633414745</v>
          </cell>
          <cell r="I90">
            <v>21135.231413293899</v>
          </cell>
        </row>
        <row r="91">
          <cell r="D91">
            <v>9397787.1060242336</v>
          </cell>
          <cell r="I91">
            <v>22514.892825830502</v>
          </cell>
        </row>
        <row r="92">
          <cell r="D92">
            <v>10148137.56413348</v>
          </cell>
          <cell r="I92">
            <v>23480.746321456147</v>
          </cell>
        </row>
        <row r="93">
          <cell r="D93">
            <v>10941867.453241672</v>
          </cell>
          <cell r="I93">
            <v>24204.269734961563</v>
          </cell>
        </row>
        <row r="94">
          <cell r="D94">
            <v>10964944.094019465</v>
          </cell>
          <cell r="I94">
            <v>24677.050310747334</v>
          </cell>
        </row>
        <row r="95">
          <cell r="D95">
            <v>10448570.695806602</v>
          </cell>
          <cell r="I95">
            <v>23721.177039945582</v>
          </cell>
        </row>
        <row r="96">
          <cell r="D96">
            <v>11125254.805794582</v>
          </cell>
          <cell r="I96">
            <v>23633.09582716407</v>
          </cell>
        </row>
        <row r="97">
          <cell r="D97">
            <v>10998113.76450205</v>
          </cell>
          <cell r="I97">
            <v>24182.802128244781</v>
          </cell>
        </row>
        <row r="98">
          <cell r="D98">
            <v>10832459.590296894</v>
          </cell>
          <cell r="I98">
            <v>24130.813574563887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/>
      <sheetData sheetId="1"/>
      <sheetData sheetId="2"/>
      <sheetData sheetId="3"/>
      <sheetData sheetId="4"/>
      <sheetData sheetId="5"/>
      <sheetData sheetId="6" refreshError="1">
        <row r="2">
          <cell r="B2" t="str">
            <v>Horizon_Utilities_Corporation_Detailed_CA_model_Run2.xls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8">
          <cell r="B8">
            <v>498976676.05552793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/>
      <sheetData sheetId="1" refreshError="1">
        <row r="13">
          <cell r="C13">
            <v>2009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>
        <row r="10">
          <cell r="C10" t="str">
            <v xml:space="preserve">_x000D_
</v>
          </cell>
        </row>
        <row r="12">
          <cell r="C12" t="str">
            <v>2006 EDR Approved</v>
          </cell>
        </row>
        <row r="14">
          <cell r="C14" t="str">
            <v> </v>
          </cell>
        </row>
      </sheetData>
      <sheetData sheetId="59"/>
      <sheetData sheetId="6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10">
          <cell r="B10" t="str">
            <v>Service Revenue Requirement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pageSetUpPr fitToPage="1"/>
  </sheetPr>
  <dimension ref="A1:P47"/>
  <sheetViews>
    <sheetView topLeftCell="A2" zoomScale="78" zoomScaleNormal="78" workbookViewId="0">
      <selection activeCell="M20" sqref="A18:M20"/>
    </sheetView>
  </sheetViews>
  <sheetFormatPr defaultRowHeight="12.75" x14ac:dyDescent="0.2"/>
  <cols>
    <col min="1" max="1" width="42.5703125" customWidth="1"/>
    <col min="2" max="2" width="16.140625" bestFit="1" customWidth="1"/>
    <col min="3" max="3" width="14" bestFit="1" customWidth="1"/>
    <col min="4" max="8" width="12.5703125" bestFit="1" customWidth="1"/>
    <col min="9" max="11" width="12.5703125" customWidth="1"/>
    <col min="12" max="13" width="12.5703125" bestFit="1" customWidth="1"/>
    <col min="15" max="15" width="17.140625" customWidth="1"/>
    <col min="16" max="16" width="12.5703125" bestFit="1" customWidth="1"/>
  </cols>
  <sheetData>
    <row r="1" spans="1:15" ht="15.75" x14ac:dyDescent="0.25">
      <c r="A1" s="31" t="s">
        <v>142</v>
      </c>
    </row>
    <row r="3" spans="1:15" ht="25.5" x14ac:dyDescent="0.2">
      <c r="B3" s="33" t="s">
        <v>75</v>
      </c>
      <c r="C3" s="33" t="s">
        <v>151</v>
      </c>
      <c r="D3" s="33" t="s">
        <v>65</v>
      </c>
      <c r="E3" s="33" t="s">
        <v>66</v>
      </c>
      <c r="F3" s="33" t="s">
        <v>69</v>
      </c>
      <c r="G3" s="33" t="s">
        <v>76</v>
      </c>
      <c r="H3" s="33" t="s">
        <v>77</v>
      </c>
      <c r="I3" s="33" t="s">
        <v>152</v>
      </c>
      <c r="J3" s="33" t="s">
        <v>153</v>
      </c>
      <c r="K3" s="33" t="s">
        <v>154</v>
      </c>
      <c r="L3" s="33" t="s">
        <v>155</v>
      </c>
      <c r="M3" s="33" t="s">
        <v>156</v>
      </c>
      <c r="O3" s="33" t="s">
        <v>185</v>
      </c>
    </row>
    <row r="4" spans="1:15" x14ac:dyDescent="0.2">
      <c r="A4" s="15" t="s">
        <v>52</v>
      </c>
      <c r="B4" s="22">
        <f>+'Purchased Power Model'!D152</f>
        <v>253794532.28605214</v>
      </c>
      <c r="C4" s="22">
        <f>+'Purchased Power Model'!D153</f>
        <v>256463675.28359121</v>
      </c>
      <c r="D4" s="22">
        <f>+'Purchased Power Model'!D154</f>
        <v>256374688.63650927</v>
      </c>
      <c r="E4" s="22">
        <f>+'Purchased Power Model'!D155</f>
        <v>259210018.63999999</v>
      </c>
      <c r="F4" s="22">
        <f>+'Purchased Power Model'!D156</f>
        <v>254048366.90000001</v>
      </c>
      <c r="G4" s="22">
        <f>+'Purchased Power Model'!D157</f>
        <v>266473255.97205046</v>
      </c>
      <c r="H4" s="22">
        <f>+'Purchased Power Model'!D158</f>
        <v>261985353.56</v>
      </c>
      <c r="I4" s="22">
        <f>+'Purchased Power Model'!D159</f>
        <v>263490930.20000002</v>
      </c>
      <c r="J4" s="22">
        <f>+'Purchased Power Model'!D160</f>
        <v>268727921.99999994</v>
      </c>
      <c r="K4" s="22">
        <f>+'Purchased Power Model'!D161</f>
        <v>275958139.94408911</v>
      </c>
      <c r="O4" s="113">
        <f>+[10]Summary!M4</f>
        <v>0</v>
      </c>
    </row>
    <row r="5" spans="1:15" x14ac:dyDescent="0.2">
      <c r="A5" s="15" t="s">
        <v>53</v>
      </c>
      <c r="B5" s="22">
        <f>+'Purchased Power Model'!L152</f>
        <v>251057418.86621657</v>
      </c>
      <c r="C5" s="22">
        <f>+'Purchased Power Model'!L153</f>
        <v>253261286.00769246</v>
      </c>
      <c r="D5" s="22">
        <f>+'Purchased Power Model'!L154</f>
        <v>255606326.81527585</v>
      </c>
      <c r="E5" s="22">
        <f>+'Purchased Power Model'!L155</f>
        <v>261704642.09960899</v>
      </c>
      <c r="F5" s="22">
        <f>+'Purchased Power Model'!L156</f>
        <v>258277666.21120611</v>
      </c>
      <c r="G5" s="22">
        <f>+'Purchased Power Model'!L157</f>
        <v>266218412.34054422</v>
      </c>
      <c r="H5" s="22">
        <f>+'Purchased Power Model'!L158</f>
        <v>265019257.76105964</v>
      </c>
      <c r="I5" s="22">
        <f>+'Purchased Power Model'!L159</f>
        <v>266884948.06330311</v>
      </c>
      <c r="J5" s="22">
        <f>+'Purchased Power Model'!L160</f>
        <v>268938534.64931339</v>
      </c>
      <c r="K5" s="22">
        <f>+'Purchased Power Model'!L161</f>
        <v>272212819.34678811</v>
      </c>
      <c r="L5" s="22">
        <f>+'Purchased Power Model'!L162</f>
        <v>270006354.93255472</v>
      </c>
      <c r="M5" s="22">
        <f>+'Purchased Power Model'!L163</f>
        <v>276669919.23625523</v>
      </c>
      <c r="O5" s="113">
        <f>+[10]Summary!M5</f>
        <v>266100000</v>
      </c>
    </row>
    <row r="6" spans="1:15" x14ac:dyDescent="0.2">
      <c r="A6" s="15" t="s">
        <v>10</v>
      </c>
      <c r="B6" s="32">
        <f t="shared" ref="B6:G6" si="0">(B5-B4)/B4</f>
        <v>-1.0784761181342408E-2</v>
      </c>
      <c r="C6" s="32">
        <f t="shared" si="0"/>
        <v>-1.2486716773272595E-2</v>
      </c>
      <c r="D6" s="32">
        <f t="shared" si="0"/>
        <v>-2.9970268333424015E-3</v>
      </c>
      <c r="E6" s="32">
        <f t="shared" si="0"/>
        <v>9.6239469164717088E-3</v>
      </c>
      <c r="F6" s="32">
        <f t="shared" si="0"/>
        <v>1.6647614636589512E-2</v>
      </c>
      <c r="G6" s="32">
        <f t="shared" si="0"/>
        <v>-9.5635725460180569E-4</v>
      </c>
      <c r="H6" s="32">
        <f>(H5-H4)/H4</f>
        <v>1.1580434401516317E-2</v>
      </c>
      <c r="I6" s="32">
        <f>(I5-I4)/I4</f>
        <v>1.2880966569615513E-2</v>
      </c>
      <c r="J6" s="32">
        <f t="shared" ref="J6:K6" si="1">(J5-J4)/J4</f>
        <v>7.8373935892471166E-4</v>
      </c>
      <c r="K6" s="32">
        <f t="shared" si="1"/>
        <v>-1.3572060596073854E-2</v>
      </c>
      <c r="O6" s="113">
        <f>+[10]Summary!M6</f>
        <v>0</v>
      </c>
    </row>
    <row r="7" spans="1:15" x14ac:dyDescent="0.2">
      <c r="A7" s="15"/>
      <c r="B7" s="32"/>
      <c r="C7" s="32"/>
      <c r="D7" s="32"/>
      <c r="E7" s="32"/>
      <c r="F7" s="32"/>
      <c r="G7" s="32"/>
      <c r="H7" s="32"/>
      <c r="I7" s="32"/>
      <c r="J7" s="32"/>
      <c r="K7" s="32"/>
      <c r="L7" s="22"/>
      <c r="M7" s="22"/>
      <c r="O7" s="113">
        <f>+[10]Summary!M7</f>
        <v>0</v>
      </c>
    </row>
    <row r="8" spans="1:15" x14ac:dyDescent="0.2">
      <c r="A8" s="15"/>
      <c r="B8" s="32"/>
      <c r="C8" s="32"/>
      <c r="D8" s="32"/>
      <c r="E8" s="32"/>
      <c r="F8" s="32"/>
      <c r="G8" s="32"/>
      <c r="H8" s="32"/>
      <c r="I8" s="32"/>
      <c r="J8" s="32"/>
      <c r="K8" s="32"/>
      <c r="L8" s="40"/>
      <c r="M8" s="40"/>
    </row>
    <row r="9" spans="1:15" x14ac:dyDescent="0.2">
      <c r="A9" s="15"/>
      <c r="B9" s="32"/>
      <c r="C9" s="32"/>
      <c r="D9" s="32"/>
      <c r="E9" s="32"/>
      <c r="F9" s="32"/>
      <c r="G9" s="32"/>
      <c r="H9" s="32"/>
      <c r="I9" s="32"/>
      <c r="J9" s="32"/>
      <c r="K9" s="32"/>
      <c r="O9" s="113">
        <f>+[10]Summary!M8</f>
        <v>252033687.41449282</v>
      </c>
    </row>
    <row r="10" spans="1:15" x14ac:dyDescent="0.2">
      <c r="A10" s="15" t="s">
        <v>78</v>
      </c>
      <c r="B10" s="6">
        <f>'Rate Class Energy Model'!G3</f>
        <v>245814402.27250811</v>
      </c>
      <c r="C10" s="6">
        <f>'Rate Class Energy Model'!G4</f>
        <v>247553231.19939566</v>
      </c>
      <c r="D10" s="6">
        <f>'Rate Class Energy Model'!G5</f>
        <v>247589220.92592254</v>
      </c>
      <c r="E10" s="6">
        <f>'Rate Class Energy Model'!G6</f>
        <v>249736391.42802006</v>
      </c>
      <c r="F10" s="6">
        <f>'Rate Class Energy Model'!G7</f>
        <v>245734362.14726132</v>
      </c>
      <c r="G10" s="6">
        <f>'Rate Class Energy Model'!G8</f>
        <v>257992239.46230364</v>
      </c>
      <c r="H10" s="6">
        <f>'Rate Class Energy Model'!G9</f>
        <v>253939485.07669529</v>
      </c>
      <c r="I10" s="6">
        <f>'Rate Class Energy Model'!G10</f>
        <v>255738305.18630907</v>
      </c>
      <c r="J10" s="6">
        <f>'Rate Class Energy Model'!G11</f>
        <v>260728373.56735688</v>
      </c>
      <c r="K10" s="6">
        <f>'Rate Class Energy Model'!G12</f>
        <v>268116945.72267458</v>
      </c>
      <c r="L10" s="6">
        <f>'Rate Class Energy Model'!G14</f>
        <v>261367911.63556185</v>
      </c>
      <c r="M10" s="6">
        <f>'Rate Class Energy Model'!G15</f>
        <v>267818285.31859064</v>
      </c>
      <c r="O10" s="113">
        <f>+[10]Summary!M9</f>
        <v>252.03368741449282</v>
      </c>
    </row>
    <row r="11" spans="1:15" x14ac:dyDescent="0.2">
      <c r="A11" s="15" t="s">
        <v>184</v>
      </c>
      <c r="B11" s="124">
        <f>B10/1000000</f>
        <v>245.81440227250812</v>
      </c>
      <c r="C11" s="124">
        <f t="shared" ref="C11:M11" si="2">C10/1000000</f>
        <v>247.55323119939567</v>
      </c>
      <c r="D11" s="124">
        <f t="shared" si="2"/>
        <v>247.58922092592255</v>
      </c>
      <c r="E11" s="124">
        <f t="shared" si="2"/>
        <v>249.73639142802006</v>
      </c>
      <c r="F11" s="124">
        <f t="shared" si="2"/>
        <v>245.73436214726132</v>
      </c>
      <c r="G11" s="124">
        <f t="shared" si="2"/>
        <v>257.99223946230364</v>
      </c>
      <c r="H11" s="124">
        <f t="shared" si="2"/>
        <v>253.93948507669529</v>
      </c>
      <c r="I11" s="124">
        <f t="shared" si="2"/>
        <v>255.73830518630908</v>
      </c>
      <c r="J11" s="124">
        <f t="shared" si="2"/>
        <v>260.72837356735687</v>
      </c>
      <c r="K11" s="124">
        <f t="shared" si="2"/>
        <v>268.11694572267459</v>
      </c>
      <c r="L11" s="124">
        <f t="shared" si="2"/>
        <v>261.36791163556188</v>
      </c>
      <c r="M11" s="124">
        <f t="shared" si="2"/>
        <v>267.81828531859065</v>
      </c>
      <c r="O11" s="113">
        <f>+[10]Summary!M10</f>
        <v>0</v>
      </c>
    </row>
    <row r="12" spans="1:15" ht="15.75" x14ac:dyDescent="0.25">
      <c r="A12" s="31" t="s">
        <v>54</v>
      </c>
      <c r="C12" s="1"/>
      <c r="E12" s="1"/>
      <c r="H12" s="40"/>
      <c r="L12" s="197"/>
      <c r="M12" s="197"/>
      <c r="O12" s="113">
        <f>+[10]Summary!M11</f>
        <v>0</v>
      </c>
    </row>
    <row r="13" spans="1:15" x14ac:dyDescent="0.2">
      <c r="A13" s="30" t="str">
        <f>'Rate Class Energy Model'!H2</f>
        <v xml:space="preserve">Residential </v>
      </c>
      <c r="C13" s="1"/>
      <c r="D13" s="1"/>
      <c r="E13" s="1"/>
      <c r="H13" s="6"/>
      <c r="I13" s="6"/>
      <c r="J13" s="6"/>
      <c r="K13" s="6"/>
      <c r="L13" s="6"/>
      <c r="M13" s="6"/>
      <c r="O13" s="113">
        <f>+[10]Summary!M12</f>
        <v>10324.921892397642</v>
      </c>
    </row>
    <row r="14" spans="1:15" x14ac:dyDescent="0.2">
      <c r="A14" t="s">
        <v>46</v>
      </c>
      <c r="B14" s="6">
        <f>'Rate Class Customer Model'!B11</f>
        <v>10211.583333333334</v>
      </c>
      <c r="C14" s="6">
        <f>'Rate Class Customer Model'!B12</f>
        <v>10344.166666666666</v>
      </c>
      <c r="D14" s="6">
        <f>'Rate Class Customer Model'!B13</f>
        <v>10502.083333333334</v>
      </c>
      <c r="E14" s="6">
        <f>'Rate Class Customer Model'!B14</f>
        <v>10634.083333333334</v>
      </c>
      <c r="F14" s="6">
        <f>'Rate Class Customer Model'!B15</f>
        <v>10912.666666666666</v>
      </c>
      <c r="G14" s="6">
        <f>'Rate Class Customer Model'!B16</f>
        <v>11219.083333333334</v>
      </c>
      <c r="H14" s="6">
        <f>'Rate Class Customer Model'!B17</f>
        <v>11336</v>
      </c>
      <c r="I14" s="6">
        <f>'Rate Class Customer Model'!B18</f>
        <v>11381.916666666666</v>
      </c>
      <c r="J14" s="6">
        <f>'Rate Class Customer Model'!B19</f>
        <v>11468.75</v>
      </c>
      <c r="K14" s="6">
        <f>'Rate Class Customer Model'!B20</f>
        <v>11526.25</v>
      </c>
      <c r="L14" s="6">
        <f>'Rate Class Customer Model'!B21</f>
        <v>11612.666666666666</v>
      </c>
      <c r="M14" s="6">
        <f>'Rate Class Customer Model'!B22</f>
        <v>11740.5</v>
      </c>
      <c r="N14" s="40"/>
      <c r="O14" s="113">
        <f>+[10]Summary!M13</f>
        <v>90278404.207778618</v>
      </c>
    </row>
    <row r="15" spans="1:15" x14ac:dyDescent="0.2">
      <c r="A15" t="s">
        <v>47</v>
      </c>
      <c r="B15" s="6">
        <f>'Rate Class Energy Model'!H3</f>
        <v>86202261.746603757</v>
      </c>
      <c r="C15" s="6">
        <f>'Rate Class Energy Model'!H4</f>
        <v>85816558.384570569</v>
      </c>
      <c r="D15" s="6">
        <f>'Rate Class Energy Model'!H5</f>
        <v>85926418.71876052</v>
      </c>
      <c r="E15" s="39">
        <f>'Rate Class Energy Model'!H6</f>
        <v>86214190.382619157</v>
      </c>
      <c r="F15" s="6">
        <f>'Rate Class Energy Model'!H7</f>
        <v>83878663.289841563</v>
      </c>
      <c r="G15" s="6">
        <f>'Rate Class Energy Model'!H8</f>
        <v>91709432.73716554</v>
      </c>
      <c r="H15" s="6">
        <f>'Rate Class Energy Model'!H9</f>
        <v>89180443.270875081</v>
      </c>
      <c r="I15" s="6">
        <f>'Rate Class Energy Model'!H10</f>
        <v>95587067.984431669</v>
      </c>
      <c r="J15" s="6">
        <f>'Rate Class Energy Model'!H11</f>
        <v>95087325.556198344</v>
      </c>
      <c r="K15" s="6">
        <f>'Rate Class Energy Model'!H12</f>
        <v>95371627.720710099</v>
      </c>
      <c r="L15" s="6">
        <f>'Rate Class Energy Model'!H32</f>
        <v>92245274.064317778</v>
      </c>
      <c r="M15" s="6">
        <f>'Rate Class Energy Model'!H33</f>
        <v>95562230.878257319</v>
      </c>
      <c r="N15" s="40"/>
      <c r="O15" s="113">
        <f>+[10]Summary!M14</f>
        <v>90.278404207778621</v>
      </c>
    </row>
    <row r="16" spans="1:15" x14ac:dyDescent="0.2">
      <c r="C16" s="39"/>
      <c r="F16" s="40"/>
      <c r="G16" s="40"/>
      <c r="I16" s="40"/>
      <c r="J16" s="40"/>
      <c r="K16" s="40"/>
      <c r="L16" s="40"/>
      <c r="M16" s="40"/>
      <c r="N16" s="40"/>
      <c r="O16" s="113">
        <f>+[10]Summary!M15</f>
        <v>0</v>
      </c>
    </row>
    <row r="17" spans="1:15" x14ac:dyDescent="0.2">
      <c r="A17" s="30" t="str">
        <f>'Rate Class Energy Model'!I2</f>
        <v>General Service &lt; 50 kW</v>
      </c>
      <c r="C17" s="50"/>
      <c r="D17" s="1"/>
      <c r="E17" s="1"/>
      <c r="F17" s="1"/>
      <c r="G17" s="6"/>
      <c r="H17" s="6"/>
      <c r="I17" s="6"/>
      <c r="J17" s="6"/>
      <c r="K17" s="6"/>
      <c r="L17" s="6"/>
      <c r="M17" s="6"/>
      <c r="N17" s="40"/>
      <c r="O17" s="113">
        <f>+[10]Summary!M16</f>
        <v>1140.8484921040983</v>
      </c>
    </row>
    <row r="18" spans="1:15" ht="13.5" customHeight="1" x14ac:dyDescent="0.2">
      <c r="A18" t="s">
        <v>46</v>
      </c>
      <c r="B18" s="6">
        <f>'Rate Class Customer Model'!C11</f>
        <v>1122.75</v>
      </c>
      <c r="C18" s="6">
        <f>'Rate Class Customer Model'!C12</f>
        <v>1138.4166666666667</v>
      </c>
      <c r="D18" s="6">
        <f>'Rate Class Customer Model'!C13</f>
        <v>1133.75</v>
      </c>
      <c r="E18" s="6">
        <f>'Rate Class Customer Model'!C14</f>
        <v>1133.0833333333333</v>
      </c>
      <c r="F18" s="6">
        <f>'Rate Class Customer Model'!C15</f>
        <v>1143.1666666666667</v>
      </c>
      <c r="G18" s="6">
        <f>'Rate Class Customer Model'!C16</f>
        <v>1154.5</v>
      </c>
      <c r="H18" s="6">
        <f>'Rate Class Customer Model'!C17</f>
        <v>1164.0833333333333</v>
      </c>
      <c r="I18" s="6">
        <f>'Rate Class Customer Model'!C18</f>
        <v>1163.8333333333333</v>
      </c>
      <c r="J18" s="6">
        <f>'Rate Class Customer Model'!C19</f>
        <v>1166.5833333333333</v>
      </c>
      <c r="K18" s="6">
        <f>'Rate Class Customer Model'!C20</f>
        <v>1166.5</v>
      </c>
      <c r="L18" s="6">
        <f>'Rate Class Customer Model'!C21</f>
        <v>1164.25</v>
      </c>
      <c r="M18" s="6">
        <f>'Rate Class Customer Model'!C22</f>
        <v>1168.4834481663743</v>
      </c>
      <c r="N18" s="40"/>
      <c r="O18" s="113">
        <f>+[10]Summary!M17</f>
        <v>37678912.33805047</v>
      </c>
    </row>
    <row r="19" spans="1:15" x14ac:dyDescent="0.2">
      <c r="A19" t="s">
        <v>47</v>
      </c>
      <c r="B19" s="6">
        <f>'Rate Class Energy Model'!I3</f>
        <v>36449901.791789994</v>
      </c>
      <c r="C19" s="6">
        <f>'Rate Class Energy Model'!I4</f>
        <v>35415553.049546637</v>
      </c>
      <c r="D19" s="6">
        <f>'Rate Class Energy Model'!I5</f>
        <v>34168176.853738427</v>
      </c>
      <c r="E19" s="6">
        <f>'Rate Class Energy Model'!I6</f>
        <v>34455638.026827835</v>
      </c>
      <c r="F19" s="6">
        <f>'Rate Class Energy Model'!I7</f>
        <v>34387085.601475</v>
      </c>
      <c r="G19" s="6">
        <f>'Rate Class Energy Model'!I8</f>
        <v>35759952.621808477</v>
      </c>
      <c r="H19" s="6">
        <f>'Rate Class Energy Model'!I9</f>
        <v>34942744.746606827</v>
      </c>
      <c r="I19" s="6">
        <f>'Rate Class Energy Model'!I10</f>
        <v>33629605.964253612</v>
      </c>
      <c r="J19" s="6">
        <f>'Rate Class Energy Model'!I11</f>
        <v>33533529.262311421</v>
      </c>
      <c r="K19" s="6">
        <f>'Rate Class Energy Model'!I12</f>
        <v>35235863.474724725</v>
      </c>
      <c r="L19" s="6">
        <f>'Rate Class Energy Model'!I32</f>
        <v>34781027.104293205</v>
      </c>
      <c r="M19" s="6">
        <f>'Rate Class Energy Model'!I33</f>
        <v>35768954.196158841</v>
      </c>
      <c r="N19" s="40"/>
      <c r="O19" s="113">
        <f>+[10]Summary!M18</f>
        <v>37.678912338050466</v>
      </c>
    </row>
    <row r="20" spans="1:15" x14ac:dyDescent="0.2">
      <c r="B20" s="6"/>
      <c r="C20" s="1"/>
      <c r="G20" s="40"/>
      <c r="I20" s="40"/>
      <c r="J20" s="40"/>
      <c r="K20" s="40"/>
      <c r="L20" s="40"/>
      <c r="M20" s="40"/>
      <c r="N20" s="40"/>
      <c r="O20" s="113">
        <f>+[10]Summary!M19</f>
        <v>0</v>
      </c>
    </row>
    <row r="21" spans="1:15" x14ac:dyDescent="0.2">
      <c r="A21" s="30" t="str">
        <f>'Rate Class Energy Model'!J2</f>
        <v>General Service &gt; 50 to 999 kW</v>
      </c>
      <c r="B21" s="6"/>
      <c r="C21" s="1"/>
      <c r="D21" s="1"/>
      <c r="E21" s="1"/>
      <c r="F21" s="1"/>
      <c r="N21" s="40"/>
      <c r="O21" s="113">
        <f>+[10]Summary!M20</f>
        <v>123.69498579758614</v>
      </c>
    </row>
    <row r="22" spans="1:15" x14ac:dyDescent="0.2">
      <c r="A22" t="s">
        <v>46</v>
      </c>
      <c r="B22" s="6">
        <f>'Rate Class Customer Model'!D11</f>
        <v>124.66666666666667</v>
      </c>
      <c r="C22" s="6">
        <f>'Rate Class Customer Model'!D12</f>
        <v>132.08333333333334</v>
      </c>
      <c r="D22" s="6">
        <f>'Rate Class Customer Model'!D13</f>
        <v>138.75</v>
      </c>
      <c r="E22" s="6">
        <f>'Rate Class Customer Model'!D14</f>
        <v>139.91666666666666</v>
      </c>
      <c r="F22" s="6">
        <f>'Rate Class Customer Model'!D15</f>
        <v>134.33333333333334</v>
      </c>
      <c r="G22" s="6">
        <f>'Rate Class Customer Model'!D16</f>
        <v>135.91666666666666</v>
      </c>
      <c r="H22" s="6">
        <f>'Rate Class Customer Model'!D17</f>
        <v>132.25</v>
      </c>
      <c r="I22" s="6">
        <f>'Rate Class Customer Model'!D18</f>
        <v>122.08333333333333</v>
      </c>
      <c r="J22" s="6">
        <f>'Rate Class Customer Model'!D19</f>
        <v>126</v>
      </c>
      <c r="K22" s="6">
        <f>'Rate Class Customer Model'!D20</f>
        <v>125.75</v>
      </c>
      <c r="L22" s="6">
        <f>'Rate Class Customer Model'!D21</f>
        <v>126</v>
      </c>
      <c r="M22" s="6">
        <f>'Rate Class Customer Model'!D22</f>
        <v>126.13411514324987</v>
      </c>
      <c r="N22" s="40"/>
      <c r="O22" s="113">
        <f>+[10]Summary!M21</f>
        <v>121733912.81420493</v>
      </c>
    </row>
    <row r="23" spans="1:15" x14ac:dyDescent="0.2">
      <c r="A23" t="s">
        <v>47</v>
      </c>
      <c r="B23" s="6">
        <f>'Rate Class Energy Model'!J3</f>
        <v>120958839.52983999</v>
      </c>
      <c r="C23" s="6">
        <f>'Rate Class Energy Model'!J4</f>
        <v>124098101.67349331</v>
      </c>
      <c r="D23" s="6">
        <f>'Rate Class Energy Model'!J5</f>
        <v>125378255.77477828</v>
      </c>
      <c r="E23" s="6">
        <f>'Rate Class Energy Model'!J6</f>
        <v>127668955.87607671</v>
      </c>
      <c r="F23" s="6">
        <f>'Rate Class Energy Model'!J7</f>
        <v>126121327.86469257</v>
      </c>
      <c r="G23" s="6">
        <f>'Rate Class Energy Model'!J8</f>
        <v>129174185.21677302</v>
      </c>
      <c r="H23" s="6">
        <f>'Rate Class Energy Model'!J9</f>
        <v>128454739.12581007</v>
      </c>
      <c r="I23" s="6">
        <f>'Rate Class Energy Model'!J10</f>
        <v>125161845.88317287</v>
      </c>
      <c r="J23" s="6">
        <f>'Rate Class Energy Model'!J11</f>
        <v>130759586.91982318</v>
      </c>
      <c r="K23" s="6">
        <f>'Rate Class Energy Model'!J12</f>
        <v>136159366.09102184</v>
      </c>
      <c r="L23" s="6">
        <f>'Rate Class Energy Model'!J32</f>
        <v>133009595.25443071</v>
      </c>
      <c r="M23" s="6">
        <f>'Rate Class Energy Model'!J33</f>
        <v>135154245.19000375</v>
      </c>
      <c r="N23" s="40"/>
      <c r="O23" s="113">
        <f>+[10]Summary!M22</f>
        <v>293725.33462561422</v>
      </c>
    </row>
    <row r="24" spans="1:15" x14ac:dyDescent="0.2">
      <c r="A24" t="s">
        <v>48</v>
      </c>
      <c r="B24" s="6">
        <f>'Rate Class Load Model'!B2</f>
        <v>290086.77981047268</v>
      </c>
      <c r="C24" s="6">
        <f>'Rate Class Load Model'!B3</f>
        <v>295326.6614777061</v>
      </c>
      <c r="D24" s="6">
        <f>'Rate Class Load Model'!B4</f>
        <v>290455.41448504326</v>
      </c>
      <c r="E24" s="6">
        <f>'Rate Class Load Model'!B5</f>
        <v>308868.24605865555</v>
      </c>
      <c r="F24" s="6">
        <f>'Rate Class Load Model'!B6</f>
        <v>297257.4140142221</v>
      </c>
      <c r="G24" s="6">
        <f>'Rate Class Load Model'!B7</f>
        <v>299851.59780658461</v>
      </c>
      <c r="H24" s="6">
        <f>'Rate Class Load Model'!B8</f>
        <v>300898.82119152404</v>
      </c>
      <c r="I24" s="6">
        <f>'Rate Class Load Model'!B9</f>
        <v>281171.19930808013</v>
      </c>
      <c r="J24" s="6">
        <f>'Rate Class Load Model'!B10</f>
        <v>301675.62</v>
      </c>
      <c r="K24" s="6">
        <f>'Rate Class Load Model'!B11</f>
        <v>317681.46000000008</v>
      </c>
      <c r="L24" s="6">
        <f>'Rate Class Load Model'!B12</f>
        <v>312958.84992735123</v>
      </c>
      <c r="M24" s="6">
        <f>'Rate Class Load Model'!B13</f>
        <v>317655.44335731986</v>
      </c>
      <c r="N24" s="40"/>
      <c r="O24" s="113">
        <f>+[10]Summary!M23</f>
        <v>121.73391281420493</v>
      </c>
    </row>
    <row r="25" spans="1:15" x14ac:dyDescent="0.2">
      <c r="B25" s="6"/>
      <c r="C25" s="6"/>
      <c r="D25" s="6"/>
      <c r="E25" s="6"/>
      <c r="F25" s="6"/>
      <c r="G25" s="6"/>
      <c r="H25" s="6"/>
      <c r="I25" s="6"/>
      <c r="K25" s="6"/>
      <c r="L25" s="6"/>
      <c r="M25" s="6"/>
      <c r="N25" s="40"/>
      <c r="O25" s="113">
        <f>+[10]Summary!M24</f>
        <v>0</v>
      </c>
    </row>
    <row r="26" spans="1:15" x14ac:dyDescent="0.2">
      <c r="A26" s="30" t="str">
        <f>'Rate Class Energy Model'!K2</f>
        <v>Street Lights</v>
      </c>
      <c r="E26" s="1"/>
      <c r="F26" s="1"/>
      <c r="H26" s="1"/>
      <c r="K26" s="6"/>
      <c r="N26" s="40"/>
      <c r="O26" s="113">
        <f>+[10]Summary!M25</f>
        <v>2869.6628833825698</v>
      </c>
    </row>
    <row r="27" spans="1:15" x14ac:dyDescent="0.2">
      <c r="A27" t="s">
        <v>49</v>
      </c>
      <c r="B27" s="6">
        <f>'Rate Class Customer Model'!E11</f>
        <v>2853.9166666666665</v>
      </c>
      <c r="C27" s="6">
        <f>'Rate Class Customer Model'!E12</f>
        <v>2895.75</v>
      </c>
      <c r="D27" s="6">
        <f>'Rate Class Customer Model'!E13</f>
        <v>2916.25</v>
      </c>
      <c r="E27" s="6">
        <f>'Rate Class Customer Model'!E14</f>
        <v>2852.25</v>
      </c>
      <c r="F27" s="6">
        <f>'Rate Class Customer Model'!E15</f>
        <v>2876.75</v>
      </c>
      <c r="G27" s="6">
        <f>'Rate Class Customer Model'!E16</f>
        <v>2900</v>
      </c>
      <c r="H27" s="6">
        <f>'Rate Class Customer Model'!E17</f>
        <v>2939</v>
      </c>
      <c r="I27" s="6">
        <f>'Rate Class Customer Model'!E18</f>
        <v>2944.1666666666665</v>
      </c>
      <c r="J27" s="6">
        <f>'Rate Class Customer Model'!E19</f>
        <v>2965.9166666666665</v>
      </c>
      <c r="K27" s="6">
        <f>'Rate Class Customer Model'!E20</f>
        <v>2985</v>
      </c>
      <c r="L27" s="6">
        <f>'Rate Class Customer Model'!E21</f>
        <v>2963</v>
      </c>
      <c r="M27" s="6">
        <f>'Rate Class Customer Model'!E22</f>
        <v>2974.135068550856</v>
      </c>
      <c r="N27" s="40"/>
      <c r="O27" s="113">
        <f>+[10]Summary!M26</f>
        <v>1861617.8068174501</v>
      </c>
    </row>
    <row r="28" spans="1:15" x14ac:dyDescent="0.2">
      <c r="A28" t="s">
        <v>47</v>
      </c>
      <c r="B28" s="6">
        <f>'Rate Class Energy Model'!K3</f>
        <v>1712978.1604808702</v>
      </c>
      <c r="C28" s="6">
        <f>'Rate Class Energy Model'!K4</f>
        <v>1731641.5322965365</v>
      </c>
      <c r="D28" s="6">
        <f>'Rate Class Energy Model'!K5</f>
        <v>1629825.7799828262</v>
      </c>
      <c r="E28" s="6">
        <f>'Rate Class Energy Model'!K6</f>
        <v>890659.09741436888</v>
      </c>
      <c r="F28" s="6">
        <f>'Rate Class Energy Model'!K7</f>
        <v>863294.61883408076</v>
      </c>
      <c r="G28" s="6">
        <f>'Rate Class Energy Model'!K8</f>
        <v>870905.41933021648</v>
      </c>
      <c r="H28" s="6">
        <f>'Rate Class Energy Model'!K9</f>
        <v>883464.17326590978</v>
      </c>
      <c r="I28" s="6">
        <f>'Rate Class Energy Model'!K10</f>
        <v>881690.64974716154</v>
      </c>
      <c r="J28" s="6">
        <f>'Rate Class Energy Model'!K11</f>
        <v>870117.8322679135</v>
      </c>
      <c r="K28" s="6">
        <f>'Rate Class Energy Model'!K12</f>
        <v>875006.27802690573</v>
      </c>
      <c r="L28" s="6">
        <f>'Rate Class Energy Model'!K32</f>
        <v>864270.66831873998</v>
      </c>
      <c r="M28" s="6">
        <f>'Rate Class Energy Model'!K33</f>
        <v>867518.63090335811</v>
      </c>
      <c r="N28" s="40"/>
      <c r="O28" s="113">
        <f>+[10]Summary!M27</f>
        <v>5229.9860393372019</v>
      </c>
    </row>
    <row r="29" spans="1:15" x14ac:dyDescent="0.2">
      <c r="A29" t="s">
        <v>48</v>
      </c>
      <c r="B29" s="6">
        <f>'Rate Class Load Model'!C2</f>
        <v>4780.3</v>
      </c>
      <c r="C29" s="6">
        <f>'Rate Class Load Model'!C3</f>
        <v>4826.93</v>
      </c>
      <c r="D29" s="6">
        <f>'Rate Class Load Model'!C4</f>
        <v>4599.0700000000006</v>
      </c>
      <c r="E29" s="6">
        <f>'Rate Class Load Model'!C5</f>
        <v>2461.8700000000003</v>
      </c>
      <c r="F29" s="6">
        <f>'Rate Class Load Model'!C6</f>
        <v>2404.58</v>
      </c>
      <c r="G29" s="6">
        <f>'Rate Class Load Model'!C7</f>
        <v>2423.3099999999995</v>
      </c>
      <c r="H29" s="6">
        <f>'Rate Class Load Model'!C8</f>
        <v>2459.6399999999994</v>
      </c>
      <c r="I29" s="6">
        <f>'Rate Class Load Model'!C9</f>
        <v>2445.92</v>
      </c>
      <c r="J29" s="6">
        <f>'Rate Class Load Model'!C10</f>
        <v>2420.3500000000004</v>
      </c>
      <c r="K29" s="6">
        <f>'Rate Class Load Model'!C11</f>
        <v>2434.08</v>
      </c>
      <c r="L29" s="6">
        <f>'Rate Class Load Model'!C12</f>
        <v>2424.0839715283414</v>
      </c>
      <c r="M29" s="6">
        <f>'Rate Class Load Model'!C13</f>
        <v>2415.7713744567136</v>
      </c>
      <c r="N29" s="40">
        <f>+'Rate Class Customer Model'!B26</f>
        <v>1.0129836215408972</v>
      </c>
      <c r="O29" s="113">
        <f>+[10]Summary!M28</f>
        <v>1.86161780681745</v>
      </c>
    </row>
    <row r="30" spans="1:15" x14ac:dyDescent="0.2">
      <c r="H30" s="6"/>
      <c r="I30" s="6"/>
      <c r="K30" s="6"/>
      <c r="L30" s="6"/>
      <c r="M30" s="6"/>
      <c r="O30" s="113">
        <f>+[10]Summary!M29</f>
        <v>0</v>
      </c>
    </row>
    <row r="31" spans="1:15" x14ac:dyDescent="0.2">
      <c r="A31" s="30" t="str">
        <f>'Rate Class Energy Model'!L2</f>
        <v>Sentinel Lights</v>
      </c>
      <c r="E31" s="1"/>
      <c r="G31" s="1"/>
      <c r="K31" s="19"/>
      <c r="O31" s="113">
        <f>+[10]Summary!M30</f>
        <v>155.48547729973458</v>
      </c>
    </row>
    <row r="32" spans="1:15" x14ac:dyDescent="0.2">
      <c r="A32" t="s">
        <v>49</v>
      </c>
      <c r="B32" s="6">
        <f>'Rate Class Customer Model'!F11</f>
        <v>156</v>
      </c>
      <c r="C32" s="6">
        <f>'Rate Class Customer Model'!F12</f>
        <v>152.16666666666666</v>
      </c>
      <c r="D32" s="6">
        <f>'Rate Class Customer Model'!F13</f>
        <v>150.83333333333334</v>
      </c>
      <c r="E32" s="6">
        <f>'Rate Class Customer Model'!F14</f>
        <v>152.41666666666666</v>
      </c>
      <c r="F32" s="6">
        <f>'Rate Class Customer Model'!F15</f>
        <v>150.83333333333334</v>
      </c>
      <c r="G32" s="6">
        <f>'Rate Class Customer Model'!F16</f>
        <v>153.66666666666666</v>
      </c>
      <c r="H32" s="6">
        <f>'Rate Class Customer Model'!F17</f>
        <v>155.5</v>
      </c>
      <c r="I32" s="6">
        <f>'Rate Class Customer Model'!F18</f>
        <v>157.66666666666666</v>
      </c>
      <c r="J32" s="6">
        <f>'Rate Class Customer Model'!F19</f>
        <v>158</v>
      </c>
      <c r="K32" s="6">
        <f>'Rate Class Customer Model'!F20</f>
        <v>157.25</v>
      </c>
      <c r="L32" s="6">
        <f>'Rate Class Customer Model'!F21</f>
        <v>157</v>
      </c>
      <c r="M32" s="6">
        <f>'Rate Class Customer Model'!F22</f>
        <v>157.10035188815147</v>
      </c>
      <c r="O32" s="113">
        <f>+[10]Summary!M31</f>
        <v>122535.77700319083</v>
      </c>
    </row>
    <row r="33" spans="1:16" x14ac:dyDescent="0.2">
      <c r="A33" t="s">
        <v>47</v>
      </c>
      <c r="B33" s="6">
        <f>'Rate Class Energy Model'!L3</f>
        <v>106011.51098813729</v>
      </c>
      <c r="C33" s="6">
        <f>'Rate Class Energy Model'!L4</f>
        <v>105133.19775921054</v>
      </c>
      <c r="D33" s="6">
        <f>'Rate Class Energy Model'!L5</f>
        <v>104029.99681696936</v>
      </c>
      <c r="E33" s="6">
        <f>'Rate Class Energy Model'!L6</f>
        <v>105564.9286945004</v>
      </c>
      <c r="F33" s="6">
        <f>'Rate Class Energy Model'!L7</f>
        <v>103381.18500143119</v>
      </c>
      <c r="G33" s="6">
        <f>'Rate Class Energy Model'!L8</f>
        <v>102424.28203415705</v>
      </c>
      <c r="H33" s="6">
        <f>'Rate Class Energy Model'!L9</f>
        <v>102754.57494513884</v>
      </c>
      <c r="I33" s="6">
        <f>'Rate Class Energy Model'!L10</f>
        <v>102755.519511497</v>
      </c>
      <c r="J33" s="6">
        <f>'Rate Class Energy Model'!L11</f>
        <v>102474.81156378207</v>
      </c>
      <c r="K33" s="6">
        <f>'Rate Class Energy Model'!L12</f>
        <v>99742.972998759651</v>
      </c>
      <c r="L33" s="6">
        <f>'Rate Class Energy Model'!L32</f>
        <v>99127.487835130218</v>
      </c>
      <c r="M33" s="6">
        <f>'Rate Class Energy Model'!L33</f>
        <v>99190.848539410261</v>
      </c>
      <c r="O33" s="113">
        <f>+[10]Summary!M32</f>
        <v>338.86175995396366</v>
      </c>
    </row>
    <row r="34" spans="1:16" x14ac:dyDescent="0.2">
      <c r="A34" t="s">
        <v>48</v>
      </c>
      <c r="B34" s="6">
        <f>'Rate Class Load Model'!D2</f>
        <v>292.3</v>
      </c>
      <c r="C34" s="6">
        <f>'Rate Class Load Model'!D3</f>
        <v>289.40000000000003</v>
      </c>
      <c r="D34" s="6">
        <f>'Rate Class Load Model'!D4</f>
        <v>286.49</v>
      </c>
      <c r="E34" s="6">
        <f>'Rate Class Load Model'!D5</f>
        <v>289.30000000000007</v>
      </c>
      <c r="F34" s="6">
        <f>'Rate Class Load Model'!D6</f>
        <v>310.00000000000006</v>
      </c>
      <c r="G34" s="6">
        <f>'Rate Class Load Model'!D7</f>
        <v>280.60000000000002</v>
      </c>
      <c r="H34" s="6">
        <f>'Rate Class Load Model'!D8</f>
        <v>283.8</v>
      </c>
      <c r="I34" s="6">
        <f>'Rate Class Load Model'!D9</f>
        <v>282.2</v>
      </c>
      <c r="J34" s="6">
        <f>'Rate Class Load Model'!D10</f>
        <v>282</v>
      </c>
      <c r="K34" s="6">
        <f>'Rate Class Load Model'!D11</f>
        <v>278.2</v>
      </c>
      <c r="L34" s="6">
        <f>'Rate Class Load Model'!D12</f>
        <v>275.53977957995676</v>
      </c>
      <c r="M34" s="6">
        <f>'Rate Class Load Model'!D13</f>
        <v>275.71590019869365</v>
      </c>
      <c r="O34" s="113">
        <f>+[10]Summary!M33</f>
        <v>0.12253577700319083</v>
      </c>
    </row>
    <row r="35" spans="1:16" x14ac:dyDescent="0.2">
      <c r="O35" s="113">
        <f>+[10]Summary!M34</f>
        <v>0</v>
      </c>
    </row>
    <row r="36" spans="1:16" x14ac:dyDescent="0.2">
      <c r="A36" s="30" t="str">
        <f>'Rate Class Energy Model'!M2</f>
        <v xml:space="preserve">Unmetered Loads </v>
      </c>
      <c r="E36" s="1"/>
      <c r="F36" s="1"/>
      <c r="G36" s="1"/>
      <c r="H36" s="1"/>
      <c r="O36" s="113">
        <f>+[10]Summary!M35</f>
        <v>104</v>
      </c>
    </row>
    <row r="37" spans="1:16" x14ac:dyDescent="0.2">
      <c r="A37" t="s">
        <v>49</v>
      </c>
      <c r="B37" s="6">
        <f>'Rate Class Customer Model'!G11</f>
        <v>103.75</v>
      </c>
      <c r="C37" s="6">
        <f>'Rate Class Customer Model'!G12</f>
        <v>104</v>
      </c>
      <c r="D37" s="6">
        <f>'Rate Class Customer Model'!G13</f>
        <v>96.5</v>
      </c>
      <c r="E37" s="6">
        <f>'Rate Class Customer Model'!G14</f>
        <v>97</v>
      </c>
      <c r="F37" s="6">
        <f>'Rate Class Customer Model'!G15</f>
        <v>97</v>
      </c>
      <c r="G37" s="6">
        <f>'Rate Class Customer Model'!G16</f>
        <v>97</v>
      </c>
      <c r="H37" s="6">
        <f>'Rate Class Customer Model'!G17</f>
        <v>97</v>
      </c>
      <c r="I37" s="6">
        <f>'Rate Class Customer Model'!G18</f>
        <v>97</v>
      </c>
      <c r="J37" s="6">
        <f>'Rate Class Customer Model'!G19</f>
        <v>98</v>
      </c>
      <c r="K37" s="6">
        <f>'Rate Class Customer Model'!G20</f>
        <v>98</v>
      </c>
      <c r="L37" s="6">
        <f>'Rate Class Customer Model'!G21</f>
        <v>97</v>
      </c>
      <c r="M37" s="6">
        <f>'Rate Class Customer Model'!G22</f>
        <v>96.349640189523058</v>
      </c>
      <c r="O37" s="113">
        <f>+[10]Summary!M36</f>
        <v>358304.47063816962</v>
      </c>
    </row>
    <row r="38" spans="1:16" x14ac:dyDescent="0.2">
      <c r="A38" t="s">
        <v>47</v>
      </c>
      <c r="B38" s="6">
        <f>'Rate Class Energy Model'!M3</f>
        <v>384409.53280539409</v>
      </c>
      <c r="C38" s="6">
        <f>'Rate Class Energy Model'!M4</f>
        <v>386243.36172938795</v>
      </c>
      <c r="D38" s="6">
        <f>'Rate Class Energy Model'!M5</f>
        <v>382513.80184551654</v>
      </c>
      <c r="E38" s="6">
        <f>'Rate Class Energy Model'!M6</f>
        <v>401383.11638747668</v>
      </c>
      <c r="F38" s="6">
        <f>'Rate Class Energy Model'!M7</f>
        <v>380609.58741668583</v>
      </c>
      <c r="G38" s="6">
        <f>'Rate Class Energy Model'!M8</f>
        <v>375339.18519225245</v>
      </c>
      <c r="H38" s="6">
        <f>'Rate Class Energy Model'!M9</f>
        <v>375339.18519225245</v>
      </c>
      <c r="I38" s="6">
        <f>'Rate Class Energy Model'!M10</f>
        <v>375339.18519225245</v>
      </c>
      <c r="J38" s="6">
        <f>'Rate Class Energy Model'!M11</f>
        <v>375339.18519225245</v>
      </c>
      <c r="K38" s="6">
        <f>'Rate Class Energy Model'!M12</f>
        <v>375339.18519225251</v>
      </c>
      <c r="L38" s="6">
        <f>'Rate Class Energy Model'!M32</f>
        <v>368617.05636627553</v>
      </c>
      <c r="M38" s="6">
        <f>'Rate Class Energy Model'!M33</f>
        <v>366145.57472795661</v>
      </c>
      <c r="O38" s="113">
        <f>+[10]Summary!M37</f>
        <v>0.35830447063816961</v>
      </c>
    </row>
    <row r="39" spans="1:16" x14ac:dyDescent="0.2">
      <c r="O39" s="113">
        <f>+[10]Summary!M38</f>
        <v>0</v>
      </c>
    </row>
    <row r="40" spans="1:16" x14ac:dyDescent="0.2">
      <c r="A40" s="30" t="s">
        <v>11</v>
      </c>
      <c r="C40" s="1"/>
      <c r="E40" s="1"/>
      <c r="H40" s="48"/>
      <c r="O40" s="113">
        <f>+[10]Summary!M39</f>
        <v>14718.613730981633</v>
      </c>
    </row>
    <row r="41" spans="1:16" x14ac:dyDescent="0.2">
      <c r="A41" t="s">
        <v>51</v>
      </c>
      <c r="B41" s="6">
        <f>+B14+B18+B22+B27+B32+B37</f>
        <v>14572.666666666666</v>
      </c>
      <c r="C41" s="6">
        <f t="shared" ref="C41:M41" si="3">+C14+C18+C22+C27+C32+C37</f>
        <v>14766.583333333332</v>
      </c>
      <c r="D41" s="6">
        <f t="shared" si="3"/>
        <v>14938.166666666668</v>
      </c>
      <c r="E41" s="6">
        <f t="shared" si="3"/>
        <v>15008.75</v>
      </c>
      <c r="F41" s="6">
        <f t="shared" si="3"/>
        <v>15314.75</v>
      </c>
      <c r="G41" s="6">
        <f t="shared" si="3"/>
        <v>15660.166666666666</v>
      </c>
      <c r="H41" s="6">
        <f t="shared" si="3"/>
        <v>15823.833333333334</v>
      </c>
      <c r="I41" s="6">
        <f t="shared" si="3"/>
        <v>15866.666666666666</v>
      </c>
      <c r="J41" s="6">
        <f t="shared" si="3"/>
        <v>15983.25</v>
      </c>
      <c r="K41" s="6">
        <f t="shared" si="3"/>
        <v>16058.75</v>
      </c>
      <c r="L41" s="6">
        <f t="shared" si="3"/>
        <v>16119.916666666666</v>
      </c>
      <c r="M41" s="6">
        <f t="shared" si="3"/>
        <v>16262.702623938154</v>
      </c>
      <c r="O41" s="113">
        <f>+[10]Summary!M40</f>
        <v>252033687.41449282</v>
      </c>
    </row>
    <row r="42" spans="1:16" x14ac:dyDescent="0.2">
      <c r="A42" t="s">
        <v>47</v>
      </c>
      <c r="B42" s="6">
        <f>+B15+B19+B23+B28+B33+B38</f>
        <v>245814402.27250811</v>
      </c>
      <c r="C42" s="6">
        <f t="shared" ref="C42:M42" si="4">+C15+C19+C23+C28+C33+C38</f>
        <v>247553231.19939566</v>
      </c>
      <c r="D42" s="6">
        <f t="shared" si="4"/>
        <v>247589220.92592254</v>
      </c>
      <c r="E42" s="6">
        <f t="shared" si="4"/>
        <v>249736391.42802006</v>
      </c>
      <c r="F42" s="6">
        <f t="shared" si="4"/>
        <v>245734362.14726132</v>
      </c>
      <c r="G42" s="6">
        <f t="shared" si="4"/>
        <v>257992239.46230364</v>
      </c>
      <c r="H42" s="6">
        <f t="shared" si="4"/>
        <v>253939485.07669529</v>
      </c>
      <c r="I42" s="6">
        <f t="shared" si="4"/>
        <v>255738305.18630907</v>
      </c>
      <c r="J42" s="6">
        <f t="shared" si="4"/>
        <v>260728373.56735688</v>
      </c>
      <c r="K42" s="6">
        <f t="shared" si="4"/>
        <v>268116945.72267458</v>
      </c>
      <c r="L42" s="6">
        <f t="shared" si="4"/>
        <v>261367911.63556185</v>
      </c>
      <c r="M42" s="6">
        <f t="shared" si="4"/>
        <v>267818285.31859064</v>
      </c>
      <c r="O42" s="113">
        <f>+[10]Summary!M41</f>
        <v>299294.18242490536</v>
      </c>
    </row>
    <row r="43" spans="1:16" x14ac:dyDescent="0.2">
      <c r="A43" t="s">
        <v>50</v>
      </c>
      <c r="B43" s="6">
        <f>+B24+B29+B34</f>
        <v>295159.37981047266</v>
      </c>
      <c r="C43" s="6">
        <f t="shared" ref="C43:M43" si="5">+C24+C29+C34</f>
        <v>300442.99147770612</v>
      </c>
      <c r="D43" s="6">
        <f t="shared" si="5"/>
        <v>295340.97448504326</v>
      </c>
      <c r="E43" s="6">
        <f t="shared" si="5"/>
        <v>311619.41605865554</v>
      </c>
      <c r="F43" s="6">
        <f t="shared" si="5"/>
        <v>299971.99401422212</v>
      </c>
      <c r="G43" s="6">
        <f t="shared" si="5"/>
        <v>302555.50780658459</v>
      </c>
      <c r="H43" s="6">
        <f t="shared" si="5"/>
        <v>303642.26119152404</v>
      </c>
      <c r="I43" s="6">
        <f t="shared" si="5"/>
        <v>283899.31930808013</v>
      </c>
      <c r="J43" s="6">
        <f t="shared" si="5"/>
        <v>304377.96999999997</v>
      </c>
      <c r="K43" s="6">
        <f t="shared" si="5"/>
        <v>320393.74000000011</v>
      </c>
      <c r="L43" s="6">
        <f t="shared" si="5"/>
        <v>315658.47367845953</v>
      </c>
      <c r="M43" s="6">
        <f t="shared" si="5"/>
        <v>320346.93063197524</v>
      </c>
      <c r="O43" s="113">
        <f>+[10]Summary!M42</f>
        <v>0</v>
      </c>
    </row>
    <row r="44" spans="1:16" x14ac:dyDescent="0.2">
      <c r="C44" s="48"/>
      <c r="D44" s="1"/>
      <c r="E44" s="1"/>
      <c r="F44" s="1"/>
      <c r="O44" s="113">
        <f>+[10]Summary!M43</f>
        <v>0</v>
      </c>
    </row>
    <row r="45" spans="1:16" x14ac:dyDescent="0.2">
      <c r="A45" t="s">
        <v>51</v>
      </c>
      <c r="B45" s="6">
        <f>'Rate Class Customer Model'!H11</f>
        <v>14572.666666666666</v>
      </c>
      <c r="C45" s="6">
        <f>'Rate Class Customer Model'!H12</f>
        <v>14766.583333333332</v>
      </c>
      <c r="D45" s="6">
        <f>'Rate Class Customer Model'!H13</f>
        <v>14938.166666666668</v>
      </c>
      <c r="E45" s="6">
        <f>'Rate Class Customer Model'!H14</f>
        <v>15008.75</v>
      </c>
      <c r="F45" s="6">
        <f>'Rate Class Customer Model'!H15</f>
        <v>15314.75</v>
      </c>
      <c r="G45" s="6">
        <f>'Rate Class Customer Model'!H16</f>
        <v>15660.166666666666</v>
      </c>
      <c r="H45" s="6">
        <f>'Rate Class Customer Model'!H17</f>
        <v>15823.833333333334</v>
      </c>
      <c r="I45" s="6">
        <f>'Rate Class Customer Model'!H18</f>
        <v>15866.666666666666</v>
      </c>
      <c r="J45" s="6">
        <f>'Rate Class Customer Model'!H19</f>
        <v>15983.25</v>
      </c>
      <c r="K45" s="6">
        <f>'Rate Class Customer Model'!H20</f>
        <v>16058.75</v>
      </c>
      <c r="L45" s="6">
        <f>'Rate Class Customer Model'!H21</f>
        <v>16119.916666666666</v>
      </c>
      <c r="M45" s="6">
        <f>'Rate Class Customer Model'!H22</f>
        <v>16262.702623938154</v>
      </c>
      <c r="O45" s="113">
        <f>+[10]Summary!M44</f>
        <v>14718.613730981633</v>
      </c>
    </row>
    <row r="46" spans="1:16" x14ac:dyDescent="0.2">
      <c r="A46" t="s">
        <v>47</v>
      </c>
      <c r="B46" s="6">
        <f>'Rate Class Energy Model'!G3</f>
        <v>245814402.27250811</v>
      </c>
      <c r="C46" s="6">
        <f>'Rate Class Energy Model'!G4</f>
        <v>247553231.19939566</v>
      </c>
      <c r="D46" s="6">
        <f>'Rate Class Energy Model'!G5</f>
        <v>247589220.92592254</v>
      </c>
      <c r="E46" s="6">
        <f>'Rate Class Energy Model'!G6</f>
        <v>249736391.42802006</v>
      </c>
      <c r="F46" s="6">
        <f>'Rate Class Energy Model'!G7</f>
        <v>245734362.14726132</v>
      </c>
      <c r="G46" s="6">
        <f>'Rate Class Energy Model'!G8</f>
        <v>257992239.46230364</v>
      </c>
      <c r="H46" s="6">
        <f>'Rate Class Energy Model'!G9</f>
        <v>253939485.07669529</v>
      </c>
      <c r="I46" s="6">
        <f>'Rate Class Energy Model'!G10</f>
        <v>255738305.18630907</v>
      </c>
      <c r="J46" s="6">
        <f>'Rate Class Energy Model'!G11</f>
        <v>260728373.56735688</v>
      </c>
      <c r="K46" s="6">
        <f>'Rate Class Energy Model'!G12</f>
        <v>268116945.72267458</v>
      </c>
      <c r="L46" s="6">
        <f>'Rate Class Energy Model'!N32</f>
        <v>261367911.63556185</v>
      </c>
      <c r="M46" s="6">
        <f>'Rate Class Energy Model'!N33</f>
        <v>267818285.31859064</v>
      </c>
      <c r="O46" s="113">
        <f>+[10]Summary!M45</f>
        <v>252033687.41449282</v>
      </c>
      <c r="P46" s="40"/>
    </row>
    <row r="47" spans="1:16" x14ac:dyDescent="0.2">
      <c r="A47" t="s">
        <v>50</v>
      </c>
      <c r="B47" s="6">
        <f>'Rate Class Load Model'!E2</f>
        <v>295159.37981047266</v>
      </c>
      <c r="C47" s="6">
        <f>'Rate Class Load Model'!E3</f>
        <v>300442.99147770612</v>
      </c>
      <c r="D47" s="6">
        <f>'Rate Class Load Model'!E4</f>
        <v>295340.97448504326</v>
      </c>
      <c r="E47" s="6">
        <f>'Rate Class Load Model'!E5</f>
        <v>311619.41605865554</v>
      </c>
      <c r="F47" s="6">
        <f>'Rate Class Load Model'!E6</f>
        <v>299971.99401422212</v>
      </c>
      <c r="G47" s="6">
        <f>'Rate Class Load Model'!E7</f>
        <v>302555.50780658459</v>
      </c>
      <c r="H47" s="6">
        <f>'Rate Class Load Model'!E8</f>
        <v>303642.26119152404</v>
      </c>
      <c r="I47" s="6">
        <f>'Rate Class Load Model'!E9</f>
        <v>283899.31930808013</v>
      </c>
      <c r="J47" s="6">
        <f>'Rate Class Load Model'!E10</f>
        <v>304377.96999999997</v>
      </c>
      <c r="K47" s="6">
        <f>'Rate Class Load Model'!E11</f>
        <v>320393.74000000011</v>
      </c>
      <c r="L47" s="6">
        <f>'Rate Class Load Model'!E12</f>
        <v>315658.47367845953</v>
      </c>
      <c r="M47" s="6">
        <f>'Rate Class Load Model'!E13</f>
        <v>320346.93063197524</v>
      </c>
      <c r="O47" s="113">
        <f>+[10]Summary!M46</f>
        <v>299294.18242490536</v>
      </c>
    </row>
  </sheetData>
  <phoneticPr fontId="0" type="noConversion"/>
  <pageMargins left="0.38" right="0.75" top="0.73" bottom="0.74" header="0.5" footer="0.5"/>
  <pageSetup scale="57" fitToHeight="2" orientation="landscape" r:id="rId1"/>
  <headerFooter alignWithMargins="0">
    <oddFooter>&amp;L&amp;Z&amp;F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4211C-0F41-43C6-A065-64659CA77A96}">
  <sheetPr>
    <tabColor rgb="FF00B0F0"/>
    <pageSetUpPr fitToPage="1"/>
  </sheetPr>
  <dimension ref="A1:Y196"/>
  <sheetViews>
    <sheetView zoomScale="87" zoomScaleNormal="87" workbookViewId="0">
      <pane xSplit="3" ySplit="2" topLeftCell="D112" activePane="bottomRight" state="frozen"/>
      <selection pane="topRight" activeCell="C1" sqref="C1"/>
      <selection pane="bottomLeft" activeCell="A3" sqref="A3"/>
      <selection pane="bottomRight" activeCell="H157" sqref="H157"/>
    </sheetView>
  </sheetViews>
  <sheetFormatPr defaultRowHeight="12.75" x14ac:dyDescent="0.2"/>
  <cols>
    <col min="3" max="3" width="11.85546875" style="29" customWidth="1"/>
    <col min="4" max="4" width="16.85546875" style="6" customWidth="1"/>
    <col min="5" max="5" width="11.5703125" style="1" customWidth="1"/>
    <col min="6" max="6" width="13.42578125" style="1" customWidth="1"/>
    <col min="7" max="7" width="10.140625" style="1" customWidth="1"/>
    <col min="8" max="8" width="12.42578125" style="103" customWidth="1"/>
    <col min="9" max="9" width="13" style="1" customWidth="1"/>
    <col min="10" max="10" width="12.42578125" style="1" customWidth="1"/>
    <col min="11" max="11" width="14.85546875" style="1" customWidth="1"/>
    <col min="12" max="12" width="15.5703125" style="1" bestFit="1" customWidth="1"/>
    <col min="13" max="13" width="16" style="1" customWidth="1"/>
    <col min="14" max="14" width="16.42578125" style="1" customWidth="1"/>
    <col min="15" max="15" width="8.42578125" style="1" customWidth="1"/>
    <col min="16" max="16" width="4.85546875" style="1" customWidth="1"/>
    <col min="17" max="17" width="44.42578125" customWidth="1"/>
    <col min="18" max="18" width="18.42578125" customWidth="1"/>
    <col min="19" max="21" width="12.5703125" customWidth="1"/>
    <col min="22" max="25" width="15.7109375" customWidth="1"/>
    <col min="26" max="26" width="42.42578125" bestFit="1" customWidth="1"/>
    <col min="27" max="27" width="15.5703125" bestFit="1" customWidth="1"/>
    <col min="28" max="28" width="26.140625" bestFit="1" customWidth="1"/>
    <col min="29" max="29" width="23" bestFit="1" customWidth="1"/>
    <col min="32" max="32" width="40.5703125" bestFit="1" customWidth="1"/>
    <col min="33" max="33" width="42.85546875" bestFit="1" customWidth="1"/>
  </cols>
  <sheetData>
    <row r="1" spans="1:22" x14ac:dyDescent="0.2">
      <c r="Q1" s="47" t="s">
        <v>274</v>
      </c>
    </row>
    <row r="2" spans="1:22" ht="38.25" x14ac:dyDescent="0.2">
      <c r="C2" s="59"/>
      <c r="D2" s="60" t="s">
        <v>71</v>
      </c>
      <c r="E2" s="61" t="s">
        <v>4</v>
      </c>
      <c r="F2" s="61" t="s">
        <v>5</v>
      </c>
      <c r="G2" s="61" t="s">
        <v>6</v>
      </c>
      <c r="H2" s="104" t="s">
        <v>18</v>
      </c>
      <c r="I2" s="61" t="s">
        <v>7</v>
      </c>
      <c r="J2" s="61" t="s">
        <v>144</v>
      </c>
      <c r="K2" s="61" t="s">
        <v>70</v>
      </c>
      <c r="L2" s="61" t="s">
        <v>12</v>
      </c>
      <c r="M2" s="63" t="s">
        <v>13</v>
      </c>
      <c r="N2" s="61" t="s">
        <v>14</v>
      </c>
      <c r="O2" s="61" t="s">
        <v>64</v>
      </c>
      <c r="P2"/>
      <c r="Q2" t="s">
        <v>19</v>
      </c>
      <c r="R2" s="223"/>
    </row>
    <row r="3" spans="1:22" x14ac:dyDescent="0.2">
      <c r="A3" s="3" t="str">
        <f>YEAR(C3)&amp;MONTH(C3)</f>
        <v>20131</v>
      </c>
      <c r="B3" s="49">
        <f>YEAR(C3)</f>
        <v>2013</v>
      </c>
      <c r="C3" s="52">
        <v>41305</v>
      </c>
      <c r="D3" s="53">
        <f>+Inputs!D3</f>
        <v>23103232.740000002</v>
      </c>
      <c r="E3" s="201">
        <v>703.65</v>
      </c>
      <c r="F3" s="201">
        <v>0</v>
      </c>
      <c r="G3" s="53">
        <f>+Inputs!G3</f>
        <v>31</v>
      </c>
      <c r="H3" s="105">
        <f>+Inputs!H3</f>
        <v>0</v>
      </c>
      <c r="I3" s="53">
        <f>+Inputs!I3</f>
        <v>352</v>
      </c>
      <c r="J3" s="53">
        <f>+Inputs!J3</f>
        <v>0</v>
      </c>
      <c r="K3" s="53">
        <f>+Inputs!M3</f>
        <v>1</v>
      </c>
      <c r="L3" s="53">
        <f>$R$18+$R$19*E3+$R$20*F3+$R$21*G3+$R$22*H3+$R$23*I3+J3*$R$24+K3*$R$25</f>
        <v>23090393.110478606</v>
      </c>
      <c r="M3" s="37">
        <f t="shared" ref="M3:M66" si="0">L3-D3</f>
        <v>-12839.629521396011</v>
      </c>
      <c r="N3" s="45">
        <f t="shared" ref="N3:N66" si="1">M3/D3</f>
        <v>-5.5575034307497569E-4</v>
      </c>
      <c r="O3" s="12">
        <f t="shared" ref="O3:O66" si="2">ABS(N3)</f>
        <v>5.5575034307497569E-4</v>
      </c>
      <c r="P3" s="12"/>
    </row>
    <row r="4" spans="1:22" x14ac:dyDescent="0.2">
      <c r="A4" s="3" t="str">
        <f t="shared" ref="A4:A67" si="3">YEAR(C4)&amp;MONTH(C4)</f>
        <v>20132</v>
      </c>
      <c r="B4" s="49">
        <f t="shared" ref="B4:B67" si="4">YEAR(C4)</f>
        <v>2013</v>
      </c>
      <c r="C4" s="52">
        <v>41333</v>
      </c>
      <c r="D4" s="53">
        <f>+Inputs!D4</f>
        <v>21143805.780000001</v>
      </c>
      <c r="E4" s="201">
        <v>630.40499999999997</v>
      </c>
      <c r="F4" s="201">
        <v>0</v>
      </c>
      <c r="G4" s="53">
        <f>+Inputs!G4</f>
        <v>28</v>
      </c>
      <c r="H4" s="105">
        <f>+Inputs!H4</f>
        <v>0</v>
      </c>
      <c r="I4" s="53">
        <f>+Inputs!I4</f>
        <v>304</v>
      </c>
      <c r="J4" s="53">
        <f>+Inputs!J4</f>
        <v>0</v>
      </c>
      <c r="K4" s="53">
        <f>+Inputs!M4</f>
        <v>2</v>
      </c>
      <c r="L4" s="53">
        <f t="shared" ref="L4:L67" si="5">$R$18+$R$19*E4+$R$20*F4+$R$21*G4+$R$22*H4+$R$23*I4+J4*$R$24+K4*$R$25</f>
        <v>20886192.047936175</v>
      </c>
      <c r="M4" s="37">
        <f t="shared" si="0"/>
        <v>-257613.73206382617</v>
      </c>
      <c r="N4" s="45">
        <f t="shared" si="1"/>
        <v>-1.2183886606994087E-2</v>
      </c>
      <c r="O4" s="12">
        <f t="shared" si="2"/>
        <v>1.2183886606994087E-2</v>
      </c>
      <c r="P4" s="12"/>
      <c r="Q4" s="76" t="s">
        <v>20</v>
      </c>
      <c r="R4" s="76"/>
    </row>
    <row r="5" spans="1:22" x14ac:dyDescent="0.2">
      <c r="A5" s="3" t="str">
        <f t="shared" si="3"/>
        <v>20133</v>
      </c>
      <c r="B5" s="49">
        <f t="shared" si="4"/>
        <v>2013</v>
      </c>
      <c r="C5" s="52">
        <v>41364</v>
      </c>
      <c r="D5" s="53">
        <f>+Inputs!D5</f>
        <v>22021932.285</v>
      </c>
      <c r="E5" s="201">
        <v>547.82999999999993</v>
      </c>
      <c r="F5" s="201">
        <v>0</v>
      </c>
      <c r="G5" s="53">
        <f>+Inputs!G5</f>
        <v>31</v>
      </c>
      <c r="H5" s="105">
        <v>0.33333333333333331</v>
      </c>
      <c r="I5" s="53">
        <f>+Inputs!I5</f>
        <v>320</v>
      </c>
      <c r="J5" s="53">
        <f>+Inputs!J5</f>
        <v>0</v>
      </c>
      <c r="K5" s="53">
        <f>+Inputs!M5</f>
        <v>3</v>
      </c>
      <c r="L5" s="53">
        <f t="shared" si="5"/>
        <v>21684946.426454242</v>
      </c>
      <c r="M5" s="37">
        <f t="shared" si="0"/>
        <v>-336985.85854575783</v>
      </c>
      <c r="N5" s="45">
        <f t="shared" si="1"/>
        <v>-1.5302283840700577E-2</v>
      </c>
      <c r="O5" s="12">
        <f t="shared" si="2"/>
        <v>1.5302283840700577E-2</v>
      </c>
      <c r="P5" s="12"/>
      <c r="Q5" t="s">
        <v>21</v>
      </c>
      <c r="R5" s="112">
        <v>0.95903034844094093</v>
      </c>
    </row>
    <row r="6" spans="1:22" x14ac:dyDescent="0.2">
      <c r="A6" s="3" t="str">
        <f t="shared" si="3"/>
        <v>20134</v>
      </c>
      <c r="B6" s="49">
        <f t="shared" si="4"/>
        <v>2013</v>
      </c>
      <c r="C6" s="52">
        <v>41394</v>
      </c>
      <c r="D6" s="53">
        <f>+Inputs!D6</f>
        <v>20056096.465</v>
      </c>
      <c r="E6" s="201">
        <v>338.72500000000002</v>
      </c>
      <c r="F6" s="201">
        <v>0.71000000000000008</v>
      </c>
      <c r="G6" s="53">
        <f>+Inputs!G6</f>
        <v>30</v>
      </c>
      <c r="H6" s="105">
        <f>+Inputs!H6</f>
        <v>1</v>
      </c>
      <c r="I6" s="53">
        <f>+Inputs!I6</f>
        <v>352</v>
      </c>
      <c r="J6" s="53">
        <f>+Inputs!J6</f>
        <v>0</v>
      </c>
      <c r="K6" s="53">
        <f>+Inputs!M6</f>
        <v>4</v>
      </c>
      <c r="L6" s="53">
        <f t="shared" si="5"/>
        <v>20085219.120516665</v>
      </c>
      <c r="M6" s="37">
        <f t="shared" si="0"/>
        <v>29122.655516665429</v>
      </c>
      <c r="N6" s="45">
        <f t="shared" si="1"/>
        <v>1.4520600041731714E-3</v>
      </c>
      <c r="O6" s="12">
        <f t="shared" si="2"/>
        <v>1.4520600041731714E-3</v>
      </c>
      <c r="P6" s="12"/>
      <c r="Q6" t="s">
        <v>22</v>
      </c>
      <c r="R6" s="112">
        <v>0.91973920923075259</v>
      </c>
    </row>
    <row r="7" spans="1:22" x14ac:dyDescent="0.2">
      <c r="A7" s="3" t="str">
        <f t="shared" si="3"/>
        <v>20135</v>
      </c>
      <c r="B7" s="49">
        <f t="shared" si="4"/>
        <v>2013</v>
      </c>
      <c r="C7" s="52">
        <v>41425</v>
      </c>
      <c r="D7" s="53">
        <f>+Inputs!D7</f>
        <v>19849846.864999998</v>
      </c>
      <c r="E7" s="201">
        <v>144.06</v>
      </c>
      <c r="F7" s="201">
        <v>23.914999999999999</v>
      </c>
      <c r="G7" s="53">
        <f>+Inputs!G7</f>
        <v>31</v>
      </c>
      <c r="H7" s="105">
        <f>+Inputs!H7</f>
        <v>1</v>
      </c>
      <c r="I7" s="53">
        <f>+Inputs!I7</f>
        <v>352</v>
      </c>
      <c r="J7" s="53">
        <f>+Inputs!J7</f>
        <v>0</v>
      </c>
      <c r="K7" s="53">
        <f>+Inputs!M7</f>
        <v>5</v>
      </c>
      <c r="L7" s="53">
        <f t="shared" si="5"/>
        <v>19956720.588505898</v>
      </c>
      <c r="M7" s="37">
        <f t="shared" si="0"/>
        <v>106873.72350589931</v>
      </c>
      <c r="N7" s="45">
        <f t="shared" si="1"/>
        <v>5.3841082116529125E-3</v>
      </c>
      <c r="O7" s="12">
        <f t="shared" si="2"/>
        <v>5.3841082116529125E-3</v>
      </c>
      <c r="P7" s="12"/>
      <c r="Q7" t="s">
        <v>23</v>
      </c>
      <c r="R7" s="112">
        <v>0.9150960229879036</v>
      </c>
    </row>
    <row r="8" spans="1:22" x14ac:dyDescent="0.2">
      <c r="A8" s="3" t="str">
        <f t="shared" si="3"/>
        <v>20136</v>
      </c>
      <c r="B8" s="49">
        <f t="shared" si="4"/>
        <v>2013</v>
      </c>
      <c r="C8" s="52">
        <v>41455</v>
      </c>
      <c r="D8" s="53">
        <f>+Inputs!D8</f>
        <v>20147779.544999998</v>
      </c>
      <c r="E8" s="201">
        <v>21.37</v>
      </c>
      <c r="F8" s="201">
        <v>69.710000000000008</v>
      </c>
      <c r="G8" s="53">
        <f>+Inputs!G8</f>
        <v>30</v>
      </c>
      <c r="H8" s="105">
        <v>0.66666666666666663</v>
      </c>
      <c r="I8" s="53">
        <f>+Inputs!I8</f>
        <v>320</v>
      </c>
      <c r="J8" s="53">
        <f>+Inputs!J8</f>
        <v>0</v>
      </c>
      <c r="K8" s="53">
        <f>+Inputs!M8</f>
        <v>6</v>
      </c>
      <c r="L8" s="53">
        <f t="shared" si="5"/>
        <v>19778483.065083802</v>
      </c>
      <c r="M8" s="37">
        <f t="shared" si="0"/>
        <v>-369296.47991619632</v>
      </c>
      <c r="N8" s="45">
        <f t="shared" si="1"/>
        <v>-1.8329388560728188E-2</v>
      </c>
      <c r="O8" s="12">
        <f t="shared" si="2"/>
        <v>1.8329388560728188E-2</v>
      </c>
      <c r="P8" s="12"/>
      <c r="Q8" t="s">
        <v>24</v>
      </c>
      <c r="R8" s="113">
        <v>430732.82162045367</v>
      </c>
    </row>
    <row r="9" spans="1:22" ht="13.5" thickBot="1" x14ac:dyDescent="0.25">
      <c r="A9" s="3" t="str">
        <f t="shared" si="3"/>
        <v>20137</v>
      </c>
      <c r="B9" s="49">
        <f t="shared" si="4"/>
        <v>2013</v>
      </c>
      <c r="C9" s="52">
        <v>41486</v>
      </c>
      <c r="D9" s="53">
        <f>+Inputs!D9</f>
        <v>22076027.195</v>
      </c>
      <c r="E9" s="201">
        <v>1.24</v>
      </c>
      <c r="F9" s="201">
        <v>140.78500000000003</v>
      </c>
      <c r="G9" s="53">
        <f>+Inputs!G9</f>
        <v>31</v>
      </c>
      <c r="H9" s="105">
        <f>+Inputs!H9</f>
        <v>0</v>
      </c>
      <c r="I9" s="53">
        <f>+Inputs!I9</f>
        <v>352</v>
      </c>
      <c r="J9" s="53">
        <f>+Inputs!J9</f>
        <v>0</v>
      </c>
      <c r="K9" s="53">
        <f>+Inputs!M9</f>
        <v>7</v>
      </c>
      <c r="L9" s="53">
        <f t="shared" si="5"/>
        <v>22540119.890113216</v>
      </c>
      <c r="M9" s="37">
        <f t="shared" si="0"/>
        <v>464092.6951132156</v>
      </c>
      <c r="N9" s="45">
        <f t="shared" si="1"/>
        <v>2.1022473428476657E-2</v>
      </c>
      <c r="O9" s="12">
        <f t="shared" si="2"/>
        <v>2.1022473428476657E-2</v>
      </c>
      <c r="P9" s="12"/>
      <c r="Q9" s="90" t="s">
        <v>25</v>
      </c>
      <c r="R9" s="90">
        <v>129</v>
      </c>
    </row>
    <row r="10" spans="1:22" x14ac:dyDescent="0.2">
      <c r="A10" s="3" t="str">
        <f t="shared" si="3"/>
        <v>20138</v>
      </c>
      <c r="B10" s="49">
        <f t="shared" si="4"/>
        <v>2013</v>
      </c>
      <c r="C10" s="52">
        <v>41517</v>
      </c>
      <c r="D10" s="53">
        <f>+Inputs!D10</f>
        <v>21280806.869999997</v>
      </c>
      <c r="E10" s="201">
        <v>3.5549999999999997</v>
      </c>
      <c r="F10" s="201">
        <v>122.37</v>
      </c>
      <c r="G10" s="53">
        <f>+Inputs!G10</f>
        <v>31</v>
      </c>
      <c r="H10" s="105">
        <f>+Inputs!H10</f>
        <v>0</v>
      </c>
      <c r="I10" s="53">
        <f>+Inputs!I10</f>
        <v>352</v>
      </c>
      <c r="J10" s="53">
        <f>+Inputs!J10</f>
        <v>0</v>
      </c>
      <c r="K10" s="53">
        <f>+Inputs!M10</f>
        <v>8</v>
      </c>
      <c r="L10" s="53">
        <f t="shared" si="5"/>
        <v>22118544.463565379</v>
      </c>
      <c r="M10" s="37">
        <f t="shared" si="0"/>
        <v>837737.59356538206</v>
      </c>
      <c r="N10" s="45">
        <f t="shared" si="1"/>
        <v>3.9365875489728655E-2</v>
      </c>
      <c r="O10" s="12">
        <f t="shared" si="2"/>
        <v>3.9365875489728655E-2</v>
      </c>
      <c r="P10" s="12"/>
    </row>
    <row r="11" spans="1:22" x14ac:dyDescent="0.2">
      <c r="A11" s="3" t="str">
        <f t="shared" si="3"/>
        <v>20139</v>
      </c>
      <c r="B11" s="49">
        <f t="shared" si="4"/>
        <v>2013</v>
      </c>
      <c r="C11" s="52">
        <v>41547</v>
      </c>
      <c r="D11" s="53">
        <f>+Inputs!D11</f>
        <v>19603273.836052112</v>
      </c>
      <c r="E11" s="201">
        <v>44.225000000000009</v>
      </c>
      <c r="F11" s="201">
        <v>50.904999999999987</v>
      </c>
      <c r="G11" s="53">
        <f>+Inputs!G11</f>
        <v>30</v>
      </c>
      <c r="H11" s="105">
        <v>0.33333333333333331</v>
      </c>
      <c r="I11" s="53">
        <f>+Inputs!I11</f>
        <v>320</v>
      </c>
      <c r="J11" s="53">
        <f>+Inputs!J11</f>
        <v>0</v>
      </c>
      <c r="K11" s="53">
        <f>+Inputs!M11</f>
        <v>9</v>
      </c>
      <c r="L11" s="53">
        <f t="shared" si="5"/>
        <v>19672459.866457794</v>
      </c>
      <c r="M11" s="37">
        <f t="shared" si="0"/>
        <v>69186.03040568158</v>
      </c>
      <c r="N11" s="45">
        <f t="shared" si="1"/>
        <v>3.5293100011918673E-3</v>
      </c>
      <c r="O11" s="12">
        <f t="shared" si="2"/>
        <v>3.5293100011918673E-3</v>
      </c>
      <c r="P11" s="12"/>
      <c r="Q11" t="s">
        <v>26</v>
      </c>
    </row>
    <row r="12" spans="1:22" x14ac:dyDescent="0.2">
      <c r="A12" s="3" t="str">
        <f t="shared" si="3"/>
        <v>201310</v>
      </c>
      <c r="B12" s="49">
        <f t="shared" si="4"/>
        <v>2013</v>
      </c>
      <c r="C12" s="52">
        <v>41578</v>
      </c>
      <c r="D12" s="53">
        <f>+Inputs!D12</f>
        <v>20353929.379999995</v>
      </c>
      <c r="E12" s="201">
        <v>222.22000000000003</v>
      </c>
      <c r="F12" s="201">
        <v>3.3</v>
      </c>
      <c r="G12" s="53">
        <f>+Inputs!G12</f>
        <v>31</v>
      </c>
      <c r="H12" s="105">
        <f>+Inputs!H12</f>
        <v>1</v>
      </c>
      <c r="I12" s="53">
        <f>+Inputs!I12</f>
        <v>352</v>
      </c>
      <c r="J12" s="53">
        <f>+Inputs!J12</f>
        <v>0</v>
      </c>
      <c r="K12" s="53">
        <f>+Inputs!M12</f>
        <v>10</v>
      </c>
      <c r="L12" s="53">
        <f t="shared" si="5"/>
        <v>19982740.26284967</v>
      </c>
      <c r="M12" s="37">
        <f t="shared" si="0"/>
        <v>-371189.11715032533</v>
      </c>
      <c r="N12" s="45">
        <f t="shared" si="1"/>
        <v>-1.8236730128142236E-2</v>
      </c>
      <c r="O12" s="12">
        <f t="shared" si="2"/>
        <v>1.8236730128142236E-2</v>
      </c>
      <c r="P12" s="12"/>
      <c r="Q12" s="76"/>
      <c r="R12" s="76" t="s">
        <v>30</v>
      </c>
      <c r="S12" s="76" t="s">
        <v>31</v>
      </c>
      <c r="T12" s="76" t="s">
        <v>32</v>
      </c>
      <c r="U12" s="76" t="s">
        <v>33</v>
      </c>
      <c r="V12" s="76" t="s">
        <v>34</v>
      </c>
    </row>
    <row r="13" spans="1:22" x14ac:dyDescent="0.2">
      <c r="A13" s="3" t="str">
        <f t="shared" si="3"/>
        <v>201311</v>
      </c>
      <c r="B13" s="49">
        <f t="shared" si="4"/>
        <v>2013</v>
      </c>
      <c r="C13" s="52">
        <v>41608</v>
      </c>
      <c r="D13" s="53">
        <f>+Inputs!D13</f>
        <v>21325343.805</v>
      </c>
      <c r="E13" s="201">
        <v>420.84500000000008</v>
      </c>
      <c r="F13" s="201">
        <v>0.09</v>
      </c>
      <c r="G13" s="53">
        <f>+Inputs!G13</f>
        <v>30</v>
      </c>
      <c r="H13" s="105">
        <f>+Inputs!H13</f>
        <v>1</v>
      </c>
      <c r="I13" s="53">
        <f>+Inputs!I13</f>
        <v>336</v>
      </c>
      <c r="J13" s="53">
        <f>+Inputs!J13</f>
        <v>0</v>
      </c>
      <c r="K13" s="53">
        <f>+Inputs!M13</f>
        <v>11</v>
      </c>
      <c r="L13" s="53">
        <f t="shared" si="5"/>
        <v>20476012.106852747</v>
      </c>
      <c r="M13" s="37">
        <f t="shared" si="0"/>
        <v>-849331.6981472522</v>
      </c>
      <c r="N13" s="45">
        <f t="shared" si="1"/>
        <v>-3.9827339053174635E-2</v>
      </c>
      <c r="O13" s="12">
        <f t="shared" si="2"/>
        <v>3.9827339053174635E-2</v>
      </c>
      <c r="P13" s="12"/>
      <c r="Q13" t="s">
        <v>27</v>
      </c>
      <c r="R13">
        <v>7</v>
      </c>
      <c r="S13">
        <v>257254256510961.56</v>
      </c>
      <c r="T13">
        <v>36750608072994.508</v>
      </c>
      <c r="U13">
        <v>198.08363505712137</v>
      </c>
      <c r="V13">
        <v>3.9524965411125393E-63</v>
      </c>
    </row>
    <row r="14" spans="1:22" x14ac:dyDescent="0.2">
      <c r="A14" s="3" t="str">
        <f t="shared" si="3"/>
        <v>201312</v>
      </c>
      <c r="B14" s="49">
        <f t="shared" si="4"/>
        <v>2013</v>
      </c>
      <c r="C14" s="52">
        <v>41639</v>
      </c>
      <c r="D14" s="53">
        <f>+Inputs!D14</f>
        <v>22832457.52</v>
      </c>
      <c r="E14" s="201">
        <v>579.06000000000006</v>
      </c>
      <c r="F14" s="201">
        <v>0</v>
      </c>
      <c r="G14" s="53">
        <f>+Inputs!G14</f>
        <v>31</v>
      </c>
      <c r="H14" s="105">
        <v>0.66666666666666663</v>
      </c>
      <c r="I14" s="53">
        <f>+Inputs!I14</f>
        <v>320</v>
      </c>
      <c r="J14" s="53">
        <f>+Inputs!J14</f>
        <v>0</v>
      </c>
      <c r="K14" s="53">
        <f>+Inputs!M14</f>
        <v>12</v>
      </c>
      <c r="L14" s="53">
        <f t="shared" si="5"/>
        <v>21827244.689193103</v>
      </c>
      <c r="M14" s="37">
        <f t="shared" si="0"/>
        <v>-1005212.8308068961</v>
      </c>
      <c r="N14" s="45">
        <f t="shared" si="1"/>
        <v>-4.4025608278319757E-2</v>
      </c>
      <c r="O14" s="12">
        <f t="shared" si="2"/>
        <v>4.4025608278319757E-2</v>
      </c>
      <c r="P14" s="12"/>
      <c r="Q14" t="s">
        <v>28</v>
      </c>
      <c r="R14">
        <v>121</v>
      </c>
      <c r="S14">
        <v>22449222398155.227</v>
      </c>
      <c r="T14">
        <v>185530763621.11758</v>
      </c>
    </row>
    <row r="15" spans="1:22" ht="13.5" thickBot="1" x14ac:dyDescent="0.25">
      <c r="A15" s="3" t="str">
        <f t="shared" si="3"/>
        <v>20141</v>
      </c>
      <c r="B15" s="49">
        <f t="shared" si="4"/>
        <v>2014</v>
      </c>
      <c r="C15" s="52">
        <v>41670</v>
      </c>
      <c r="D15" s="53">
        <f>+Inputs!D15</f>
        <v>24790039.349999998</v>
      </c>
      <c r="E15" s="201">
        <v>703.65</v>
      </c>
      <c r="F15" s="201">
        <v>0</v>
      </c>
      <c r="G15" s="53">
        <f>+Inputs!G15</f>
        <v>31</v>
      </c>
      <c r="H15" s="105">
        <f>+H3</f>
        <v>0</v>
      </c>
      <c r="I15" s="53">
        <f>+Inputs!I15</f>
        <v>352</v>
      </c>
      <c r="J15" s="53">
        <f>+Inputs!J15</f>
        <v>0</v>
      </c>
      <c r="K15" s="53">
        <f>+Inputs!M15</f>
        <v>13</v>
      </c>
      <c r="L15" s="53">
        <f t="shared" si="5"/>
        <v>23272006.546718318</v>
      </c>
      <c r="M15" s="37">
        <f t="shared" si="0"/>
        <v>-1518032.8032816797</v>
      </c>
      <c r="N15" s="45">
        <f t="shared" si="1"/>
        <v>-6.1235594742276189E-2</v>
      </c>
      <c r="O15" s="12">
        <f t="shared" si="2"/>
        <v>6.1235594742276189E-2</v>
      </c>
      <c r="P15" s="12"/>
      <c r="Q15" s="90" t="s">
        <v>11</v>
      </c>
      <c r="R15" s="90">
        <v>128</v>
      </c>
      <c r="S15" s="90">
        <v>279703478909116.78</v>
      </c>
      <c r="T15" s="90"/>
      <c r="U15" s="90"/>
      <c r="V15" s="90"/>
    </row>
    <row r="16" spans="1:22" x14ac:dyDescent="0.2">
      <c r="A16" s="3" t="str">
        <f t="shared" si="3"/>
        <v>20142</v>
      </c>
      <c r="B16" s="49">
        <f t="shared" si="4"/>
        <v>2014</v>
      </c>
      <c r="C16" s="52">
        <v>41698</v>
      </c>
      <c r="D16" s="53">
        <f>+Inputs!D16</f>
        <v>21747839.690000001</v>
      </c>
      <c r="E16" s="201">
        <v>630.40499999999997</v>
      </c>
      <c r="F16" s="201">
        <v>0</v>
      </c>
      <c r="G16" s="53">
        <f>+Inputs!G16</f>
        <v>28</v>
      </c>
      <c r="H16" s="105">
        <f t="shared" ref="H16:H79" si="6">+H4</f>
        <v>0</v>
      </c>
      <c r="I16" s="53">
        <f>+Inputs!I16</f>
        <v>304</v>
      </c>
      <c r="J16" s="53">
        <f>+Inputs!J16</f>
        <v>0</v>
      </c>
      <c r="K16" s="53">
        <f>+Inputs!M16</f>
        <v>14</v>
      </c>
      <c r="L16" s="53">
        <f t="shared" si="5"/>
        <v>21067805.484175887</v>
      </c>
      <c r="M16" s="37">
        <f t="shared" si="0"/>
        <v>-680034.20582411438</v>
      </c>
      <c r="N16" s="45">
        <f t="shared" si="1"/>
        <v>-3.1269046283102994E-2</v>
      </c>
      <c r="O16" s="12">
        <f t="shared" si="2"/>
        <v>3.1269046283102994E-2</v>
      </c>
      <c r="P16" s="12"/>
    </row>
    <row r="17" spans="1:25" ht="25.5" x14ac:dyDescent="0.2">
      <c r="A17" s="3" t="str">
        <f t="shared" si="3"/>
        <v>20143</v>
      </c>
      <c r="B17" s="49">
        <f t="shared" si="4"/>
        <v>2014</v>
      </c>
      <c r="C17" s="52">
        <v>41729</v>
      </c>
      <c r="D17" s="53">
        <f>+Inputs!D17</f>
        <v>23077253.934999999</v>
      </c>
      <c r="E17" s="201">
        <v>547.82999999999993</v>
      </c>
      <c r="F17" s="201">
        <v>0</v>
      </c>
      <c r="G17" s="53">
        <f>+Inputs!G17</f>
        <v>31</v>
      </c>
      <c r="H17" s="105">
        <f t="shared" si="6"/>
        <v>0.33333333333333331</v>
      </c>
      <c r="I17" s="53">
        <f>+Inputs!I17</f>
        <v>336</v>
      </c>
      <c r="J17" s="53">
        <f>+Inputs!J17</f>
        <v>0</v>
      </c>
      <c r="K17" s="53">
        <f>+Inputs!M17</f>
        <v>15</v>
      </c>
      <c r="L17" s="53">
        <f t="shared" si="5"/>
        <v>22043861.84955832</v>
      </c>
      <c r="M17" s="37">
        <f t="shared" si="0"/>
        <v>-1033392.0854416788</v>
      </c>
      <c r="N17" s="45">
        <f t="shared" si="1"/>
        <v>-4.4779681687966782E-2</v>
      </c>
      <c r="O17" s="12">
        <f t="shared" si="2"/>
        <v>4.4779681687966782E-2</v>
      </c>
      <c r="P17" s="12"/>
      <c r="Q17" s="76"/>
      <c r="R17" s="76" t="s">
        <v>35</v>
      </c>
      <c r="S17" s="76" t="s">
        <v>24</v>
      </c>
      <c r="T17" s="76" t="s">
        <v>36</v>
      </c>
      <c r="U17" s="76" t="s">
        <v>37</v>
      </c>
      <c r="V17" s="76" t="s">
        <v>38</v>
      </c>
      <c r="W17" s="76" t="s">
        <v>39</v>
      </c>
      <c r="X17" s="76" t="s">
        <v>105</v>
      </c>
      <c r="Y17" s="76" t="s">
        <v>106</v>
      </c>
    </row>
    <row r="18" spans="1:25" x14ac:dyDescent="0.2">
      <c r="A18" s="3" t="str">
        <f t="shared" si="3"/>
        <v>20144</v>
      </c>
      <c r="B18" s="49">
        <f t="shared" si="4"/>
        <v>2014</v>
      </c>
      <c r="C18" s="52">
        <v>41759</v>
      </c>
      <c r="D18" s="53">
        <f>+Inputs!D18</f>
        <v>20129764.705000002</v>
      </c>
      <c r="E18" s="201">
        <v>338.72500000000002</v>
      </c>
      <c r="F18" s="201">
        <v>0.71000000000000008</v>
      </c>
      <c r="G18" s="53">
        <f>+Inputs!G18</f>
        <v>30</v>
      </c>
      <c r="H18" s="105">
        <f t="shared" si="6"/>
        <v>1</v>
      </c>
      <c r="I18" s="53">
        <f>+Inputs!I18</f>
        <v>336</v>
      </c>
      <c r="J18" s="53">
        <f>+Inputs!J18</f>
        <v>0</v>
      </c>
      <c r="K18" s="53">
        <f>+Inputs!M18</f>
        <v>16</v>
      </c>
      <c r="L18" s="53">
        <f t="shared" si="5"/>
        <v>20089530.569892008</v>
      </c>
      <c r="M18" s="37">
        <f t="shared" si="0"/>
        <v>-40234.13510799408</v>
      </c>
      <c r="N18" s="45">
        <f t="shared" si="1"/>
        <v>-1.9987384700030984E-3</v>
      </c>
      <c r="O18" s="12">
        <f t="shared" si="2"/>
        <v>1.9987384700030984E-3</v>
      </c>
      <c r="P18" s="12"/>
      <c r="Q18" t="s">
        <v>29</v>
      </c>
      <c r="R18" s="113">
        <v>2047147.0081127379</v>
      </c>
      <c r="S18" s="113">
        <v>1446328.9748517803</v>
      </c>
      <c r="T18" s="113">
        <v>1.4154089724452414</v>
      </c>
      <c r="U18" s="113">
        <v>0.1595172915722288</v>
      </c>
      <c r="V18" s="113">
        <v>-816242.68496037927</v>
      </c>
      <c r="W18" s="113">
        <v>4910536.7011858551</v>
      </c>
      <c r="X18" s="113">
        <v>-816242.68496037927</v>
      </c>
      <c r="Y18" s="113">
        <v>4910536.7011858551</v>
      </c>
    </row>
    <row r="19" spans="1:25" x14ac:dyDescent="0.2">
      <c r="A19" s="3" t="str">
        <f t="shared" si="3"/>
        <v>20145</v>
      </c>
      <c r="B19" s="49">
        <f t="shared" si="4"/>
        <v>2014</v>
      </c>
      <c r="C19" s="52">
        <v>41790</v>
      </c>
      <c r="D19" s="53">
        <f>+Inputs!D19</f>
        <v>19632003.695</v>
      </c>
      <c r="E19" s="201">
        <v>144.06</v>
      </c>
      <c r="F19" s="201">
        <v>23.914999999999999</v>
      </c>
      <c r="G19" s="53">
        <f>+Inputs!G19</f>
        <v>31</v>
      </c>
      <c r="H19" s="105">
        <f t="shared" si="6"/>
        <v>1</v>
      </c>
      <c r="I19" s="53">
        <f>+Inputs!I19</f>
        <v>336</v>
      </c>
      <c r="J19" s="53">
        <f>+Inputs!J19</f>
        <v>0</v>
      </c>
      <c r="K19" s="53">
        <f>+Inputs!M19</f>
        <v>17</v>
      </c>
      <c r="L19" s="53">
        <f t="shared" si="5"/>
        <v>19961032.037881244</v>
      </c>
      <c r="M19" s="37">
        <f t="shared" si="0"/>
        <v>329028.34288124368</v>
      </c>
      <c r="N19" s="45">
        <f t="shared" si="1"/>
        <v>1.6759794262113076E-2</v>
      </c>
      <c r="O19" s="12">
        <f t="shared" si="2"/>
        <v>1.6759794262113076E-2</v>
      </c>
      <c r="P19" s="12"/>
      <c r="Q19" t="s">
        <v>4</v>
      </c>
      <c r="R19" s="113">
        <v>5812.3485800302078</v>
      </c>
      <c r="S19" s="113">
        <v>265.71519775024262</v>
      </c>
      <c r="T19" s="113">
        <v>21.874355058507</v>
      </c>
      <c r="U19" s="113">
        <v>7.2533282621251701E-44</v>
      </c>
      <c r="V19" s="113">
        <v>5286.2952603773247</v>
      </c>
      <c r="W19" s="113">
        <v>6338.401899683091</v>
      </c>
      <c r="X19" s="113">
        <v>5286.2952603773247</v>
      </c>
      <c r="Y19" s="113">
        <v>6338.401899683091</v>
      </c>
    </row>
    <row r="20" spans="1:25" x14ac:dyDescent="0.2">
      <c r="A20" s="3" t="str">
        <f t="shared" si="3"/>
        <v>20146</v>
      </c>
      <c r="B20" s="49">
        <f t="shared" si="4"/>
        <v>2014</v>
      </c>
      <c r="C20" s="52">
        <v>41820</v>
      </c>
      <c r="D20" s="53">
        <f>+Inputs!D20</f>
        <v>20417295.370000001</v>
      </c>
      <c r="E20" s="201">
        <v>21.37</v>
      </c>
      <c r="F20" s="201">
        <v>69.710000000000008</v>
      </c>
      <c r="G20" s="53">
        <f>+Inputs!G20</f>
        <v>30</v>
      </c>
      <c r="H20" s="105">
        <f t="shared" si="6"/>
        <v>0.66666666666666663</v>
      </c>
      <c r="I20" s="53">
        <f>+Inputs!I20</f>
        <v>336</v>
      </c>
      <c r="J20" s="53">
        <f>+Inputs!J20</f>
        <v>0</v>
      </c>
      <c r="K20" s="53">
        <f>+Inputs!M20</f>
        <v>18</v>
      </c>
      <c r="L20" s="53">
        <f t="shared" si="5"/>
        <v>20137398.488187879</v>
      </c>
      <c r="M20" s="37">
        <f t="shared" si="0"/>
        <v>-279896.88181212172</v>
      </c>
      <c r="N20" s="45">
        <f t="shared" si="1"/>
        <v>-1.3708812883384451E-2</v>
      </c>
      <c r="O20" s="12">
        <f t="shared" si="2"/>
        <v>1.3708812883384451E-2</v>
      </c>
      <c r="P20" s="12"/>
      <c r="Q20" t="s">
        <v>5</v>
      </c>
      <c r="R20" s="113">
        <v>24445.586018494676</v>
      </c>
      <c r="S20" s="113">
        <v>1489.1787584371727</v>
      </c>
      <c r="T20" s="113">
        <v>16.415481271133118</v>
      </c>
      <c r="U20" s="113">
        <v>1.4328848198885017E-32</v>
      </c>
      <c r="V20" s="113">
        <v>21497.363876648</v>
      </c>
      <c r="W20" s="113">
        <v>27393.808160341352</v>
      </c>
      <c r="X20" s="113">
        <v>21497.363876648</v>
      </c>
      <c r="Y20" s="113">
        <v>27393.808160341352</v>
      </c>
    </row>
    <row r="21" spans="1:25" x14ac:dyDescent="0.2">
      <c r="A21" s="3" t="str">
        <f t="shared" si="3"/>
        <v>20147</v>
      </c>
      <c r="B21" s="49">
        <f t="shared" si="4"/>
        <v>2014</v>
      </c>
      <c r="C21" s="52">
        <v>41851</v>
      </c>
      <c r="D21" s="53">
        <f>+Inputs!D21</f>
        <v>20942891.695</v>
      </c>
      <c r="E21" s="201">
        <v>1.24</v>
      </c>
      <c r="F21" s="201">
        <v>140.78500000000003</v>
      </c>
      <c r="G21" s="53">
        <f>+Inputs!G21</f>
        <v>31</v>
      </c>
      <c r="H21" s="105">
        <f t="shared" si="6"/>
        <v>0</v>
      </c>
      <c r="I21" s="53">
        <f>+Inputs!I21</f>
        <v>352</v>
      </c>
      <c r="J21" s="53">
        <f>+Inputs!J21</f>
        <v>0</v>
      </c>
      <c r="K21" s="53">
        <f>+Inputs!M21</f>
        <v>19</v>
      </c>
      <c r="L21" s="53">
        <f t="shared" si="5"/>
        <v>22721733.326352928</v>
      </c>
      <c r="M21" s="37">
        <f t="shared" si="0"/>
        <v>1778841.6313529275</v>
      </c>
      <c r="N21" s="45">
        <f t="shared" si="1"/>
        <v>8.4937727667169102E-2</v>
      </c>
      <c r="O21" s="12">
        <f t="shared" si="2"/>
        <v>8.4937727667169102E-2</v>
      </c>
      <c r="P21" s="12"/>
      <c r="Q21" t="s">
        <v>6</v>
      </c>
      <c r="R21" s="113">
        <v>420568.0277416638</v>
      </c>
      <c r="S21" s="113">
        <v>54005.067660489563</v>
      </c>
      <c r="T21" s="113">
        <v>7.7875659815042493</v>
      </c>
      <c r="U21" s="113">
        <v>2.6085701075388535E-12</v>
      </c>
      <c r="V21" s="113">
        <v>313650.75179577508</v>
      </c>
      <c r="W21" s="113">
        <v>527485.30368755246</v>
      </c>
      <c r="X21" s="113">
        <v>313650.75179577508</v>
      </c>
      <c r="Y21" s="113">
        <v>527485.30368755246</v>
      </c>
    </row>
    <row r="22" spans="1:25" x14ac:dyDescent="0.2">
      <c r="A22" s="3" t="str">
        <f t="shared" si="3"/>
        <v>20148</v>
      </c>
      <c r="B22" s="49">
        <f t="shared" si="4"/>
        <v>2014</v>
      </c>
      <c r="C22" s="52">
        <v>41882</v>
      </c>
      <c r="D22" s="53">
        <f>+Inputs!D22</f>
        <v>20954818.989999998</v>
      </c>
      <c r="E22" s="201">
        <v>3.5549999999999997</v>
      </c>
      <c r="F22" s="201">
        <v>122.37</v>
      </c>
      <c r="G22" s="53">
        <f>+Inputs!G22</f>
        <v>31</v>
      </c>
      <c r="H22" s="105">
        <f t="shared" si="6"/>
        <v>0</v>
      </c>
      <c r="I22" s="53">
        <f>+Inputs!I22</f>
        <v>336</v>
      </c>
      <c r="J22" s="53">
        <f>+Inputs!J22</f>
        <v>0</v>
      </c>
      <c r="K22" s="53">
        <f>+Inputs!M22</f>
        <v>20</v>
      </c>
      <c r="L22" s="53">
        <f t="shared" si="5"/>
        <v>22122855.912940718</v>
      </c>
      <c r="M22" s="37">
        <f t="shared" si="0"/>
        <v>1168036.9229407199</v>
      </c>
      <c r="N22" s="45">
        <f t="shared" si="1"/>
        <v>5.5740730735881198E-2</v>
      </c>
      <c r="O22" s="12">
        <f t="shared" si="2"/>
        <v>5.5740730735881198E-2</v>
      </c>
      <c r="P22" s="12"/>
      <c r="Q22" t="s">
        <v>18</v>
      </c>
      <c r="R22" s="113">
        <v>-526294.38178580569</v>
      </c>
      <c r="S22" s="113">
        <v>130284.16228637649</v>
      </c>
      <c r="T22" s="113">
        <v>-4.0395883317648584</v>
      </c>
      <c r="U22" s="113">
        <v>9.4408620402983024E-5</v>
      </c>
      <c r="V22" s="113">
        <v>-784226.2451087446</v>
      </c>
      <c r="W22" s="113">
        <v>-268362.51846286678</v>
      </c>
      <c r="X22" s="113">
        <v>-784226.2451087446</v>
      </c>
      <c r="Y22" s="113">
        <v>-268362.51846286678</v>
      </c>
    </row>
    <row r="23" spans="1:25" x14ac:dyDescent="0.2">
      <c r="A23" s="3" t="str">
        <f t="shared" si="3"/>
        <v>20149</v>
      </c>
      <c r="B23" s="49">
        <f t="shared" si="4"/>
        <v>2014</v>
      </c>
      <c r="C23" s="52">
        <v>41912</v>
      </c>
      <c r="D23" s="53">
        <f>+Inputs!D23</f>
        <v>20036155.765000001</v>
      </c>
      <c r="E23" s="201">
        <v>44.225000000000009</v>
      </c>
      <c r="F23" s="201">
        <v>50.904999999999987</v>
      </c>
      <c r="G23" s="53">
        <f>+Inputs!G23</f>
        <v>30</v>
      </c>
      <c r="H23" s="105">
        <f t="shared" si="6"/>
        <v>0.33333333333333331</v>
      </c>
      <c r="I23" s="53">
        <f>+Inputs!I23</f>
        <v>336</v>
      </c>
      <c r="J23" s="53">
        <f>+Inputs!J23</f>
        <v>0</v>
      </c>
      <c r="K23" s="53">
        <f>+Inputs!M23</f>
        <v>21</v>
      </c>
      <c r="L23" s="53">
        <f t="shared" si="5"/>
        <v>20031375.289561871</v>
      </c>
      <c r="M23" s="37">
        <f t="shared" si="0"/>
        <v>-4780.4754381291568</v>
      </c>
      <c r="N23" s="45">
        <f t="shared" si="1"/>
        <v>-2.3859244728371959E-4</v>
      </c>
      <c r="O23" s="12">
        <f t="shared" si="2"/>
        <v>2.3859244728371959E-4</v>
      </c>
      <c r="P23" s="12"/>
      <c r="Q23" t="s">
        <v>7</v>
      </c>
      <c r="R23" s="113">
        <v>11081.37417902288</v>
      </c>
      <c r="S23" s="113">
        <v>2510.8297716363045</v>
      </c>
      <c r="T23" s="113">
        <v>4.4134310912687491</v>
      </c>
      <c r="U23" s="113">
        <v>2.2238654028005791E-5</v>
      </c>
      <c r="V23" s="113">
        <v>6110.5243833176519</v>
      </c>
      <c r="W23" s="113">
        <v>16052.223974728107</v>
      </c>
      <c r="X23" s="113">
        <v>6110.5243833176519</v>
      </c>
      <c r="Y23" s="113">
        <v>16052.223974728107</v>
      </c>
    </row>
    <row r="24" spans="1:25" x14ac:dyDescent="0.2">
      <c r="A24" s="3" t="str">
        <f t="shared" si="3"/>
        <v>201410</v>
      </c>
      <c r="B24" s="49">
        <f t="shared" si="4"/>
        <v>2014</v>
      </c>
      <c r="C24" s="52">
        <v>41943</v>
      </c>
      <c r="D24" s="53">
        <f>+Inputs!D24</f>
        <v>20750967.593591224</v>
      </c>
      <c r="E24" s="201">
        <v>222.22000000000003</v>
      </c>
      <c r="F24" s="201">
        <v>3.3</v>
      </c>
      <c r="G24" s="53">
        <f>+Inputs!G24</f>
        <v>31</v>
      </c>
      <c r="H24" s="105">
        <f t="shared" si="6"/>
        <v>1</v>
      </c>
      <c r="I24" s="53">
        <f>+Inputs!I24</f>
        <v>352</v>
      </c>
      <c r="J24" s="53">
        <f>+Inputs!J24</f>
        <v>0</v>
      </c>
      <c r="K24" s="53">
        <f>+Inputs!M24</f>
        <v>22</v>
      </c>
      <c r="L24" s="53">
        <f t="shared" si="5"/>
        <v>20164353.699089382</v>
      </c>
      <c r="M24" s="37">
        <f t="shared" si="0"/>
        <v>-586613.89450184256</v>
      </c>
      <c r="N24" s="45">
        <f t="shared" si="1"/>
        <v>-2.8269230909647496E-2</v>
      </c>
      <c r="O24" s="12">
        <f t="shared" si="2"/>
        <v>2.8269230909647496E-2</v>
      </c>
      <c r="P24" s="12"/>
      <c r="Q24" t="s">
        <v>144</v>
      </c>
      <c r="R24" s="113">
        <v>-2321458.3690313813</v>
      </c>
      <c r="S24" s="113">
        <v>436829.35023958178</v>
      </c>
      <c r="T24" s="113">
        <v>-5.3143369779483978</v>
      </c>
      <c r="U24" s="113">
        <v>4.9569089018253281E-7</v>
      </c>
      <c r="V24" s="113">
        <v>-3186277.2870344785</v>
      </c>
      <c r="W24" s="113">
        <v>-1456639.4510282842</v>
      </c>
      <c r="X24" s="113">
        <v>-3186277.2870344785</v>
      </c>
      <c r="Y24" s="113">
        <v>-1456639.4510282842</v>
      </c>
    </row>
    <row r="25" spans="1:25" ht="13.5" thickBot="1" x14ac:dyDescent="0.25">
      <c r="A25" s="3" t="str">
        <f t="shared" si="3"/>
        <v>201411</v>
      </c>
      <c r="B25" s="49">
        <f t="shared" si="4"/>
        <v>2014</v>
      </c>
      <c r="C25" s="52">
        <v>41973</v>
      </c>
      <c r="D25" s="53">
        <f>+Inputs!D25</f>
        <v>21634719.905000001</v>
      </c>
      <c r="E25" s="201">
        <v>420.84500000000008</v>
      </c>
      <c r="F25" s="201">
        <v>0.09</v>
      </c>
      <c r="G25" s="53">
        <f>+Inputs!G25</f>
        <v>30</v>
      </c>
      <c r="H25" s="105">
        <f t="shared" si="6"/>
        <v>1</v>
      </c>
      <c r="I25" s="53">
        <f>+Inputs!I25</f>
        <v>320</v>
      </c>
      <c r="J25" s="53">
        <f>+Inputs!J25</f>
        <v>0</v>
      </c>
      <c r="K25" s="53">
        <f>+Inputs!M25</f>
        <v>23</v>
      </c>
      <c r="L25" s="53">
        <f t="shared" si="5"/>
        <v>20480323.55622809</v>
      </c>
      <c r="M25" s="37">
        <f t="shared" si="0"/>
        <v>-1154396.3487719111</v>
      </c>
      <c r="N25" s="45">
        <f t="shared" si="1"/>
        <v>-5.3358506781736446E-2</v>
      </c>
      <c r="O25" s="12">
        <f t="shared" si="2"/>
        <v>5.3358506781736446E-2</v>
      </c>
      <c r="P25" s="12"/>
      <c r="Q25" s="90" t="s">
        <v>70</v>
      </c>
      <c r="R25" s="114">
        <v>15134.453019975965</v>
      </c>
      <c r="S25" s="114">
        <v>1025.1797641226826</v>
      </c>
      <c r="T25" s="114">
        <v>14.76273093717136</v>
      </c>
      <c r="U25" s="114">
        <v>7.75936470914612E-29</v>
      </c>
      <c r="V25" s="114">
        <v>13104.839272912059</v>
      </c>
      <c r="W25" s="114">
        <v>17164.066767039869</v>
      </c>
      <c r="X25" s="114">
        <v>13104.839272912059</v>
      </c>
      <c r="Y25" s="114">
        <v>17164.066767039869</v>
      </c>
    </row>
    <row r="26" spans="1:25" x14ac:dyDescent="0.2">
      <c r="A26" s="3" t="str">
        <f t="shared" si="3"/>
        <v>201412</v>
      </c>
      <c r="B26" s="49">
        <f t="shared" si="4"/>
        <v>2014</v>
      </c>
      <c r="C26" s="52">
        <v>42004</v>
      </c>
      <c r="D26" s="53">
        <f>+Inputs!D26</f>
        <v>22349924.59</v>
      </c>
      <c r="E26" s="201">
        <v>579.06000000000006</v>
      </c>
      <c r="F26" s="201">
        <v>0</v>
      </c>
      <c r="G26" s="53">
        <f>+Inputs!G26</f>
        <v>31</v>
      </c>
      <c r="H26" s="105">
        <f t="shared" si="6"/>
        <v>0.66666666666666663</v>
      </c>
      <c r="I26" s="53">
        <f>+Inputs!I26</f>
        <v>336</v>
      </c>
      <c r="J26" s="53">
        <f>+Inputs!J26</f>
        <v>0</v>
      </c>
      <c r="K26" s="53">
        <f>+Inputs!M26</f>
        <v>24</v>
      </c>
      <c r="L26" s="53">
        <f t="shared" si="5"/>
        <v>22186160.112297185</v>
      </c>
      <c r="M26" s="37">
        <f t="shared" si="0"/>
        <v>-163764.47770281509</v>
      </c>
      <c r="N26" s="45">
        <f t="shared" si="1"/>
        <v>-7.3272944185273914E-3</v>
      </c>
      <c r="O26" s="12">
        <f t="shared" si="2"/>
        <v>7.3272944185273914E-3</v>
      </c>
      <c r="P26" s="12"/>
    </row>
    <row r="27" spans="1:25" x14ac:dyDescent="0.2">
      <c r="A27" s="3" t="str">
        <f t="shared" si="3"/>
        <v>20151</v>
      </c>
      <c r="B27" s="49">
        <f t="shared" si="4"/>
        <v>2015</v>
      </c>
      <c r="C27" s="52">
        <v>42035</v>
      </c>
      <c r="D27" s="53">
        <f>+Inputs!D27</f>
        <v>24334160.370000001</v>
      </c>
      <c r="E27" s="201">
        <v>703.65</v>
      </c>
      <c r="F27" s="201">
        <v>0</v>
      </c>
      <c r="G27" s="53">
        <f>+Inputs!G27</f>
        <v>31</v>
      </c>
      <c r="H27" s="105">
        <f t="shared" si="6"/>
        <v>0</v>
      </c>
      <c r="I27" s="53">
        <f>+Inputs!I27</f>
        <v>336</v>
      </c>
      <c r="J27" s="53">
        <f>+Inputs!J27</f>
        <v>0</v>
      </c>
      <c r="K27" s="53">
        <f>+Inputs!M27</f>
        <v>25</v>
      </c>
      <c r="L27" s="53">
        <f t="shared" si="5"/>
        <v>23276317.996093661</v>
      </c>
      <c r="M27" s="37">
        <f t="shared" si="0"/>
        <v>-1057842.3739063405</v>
      </c>
      <c r="N27" s="45">
        <f t="shared" si="1"/>
        <v>-4.3471496769228388E-2</v>
      </c>
      <c r="O27" s="12">
        <f t="shared" si="2"/>
        <v>4.3471496769228388E-2</v>
      </c>
    </row>
    <row r="28" spans="1:25" x14ac:dyDescent="0.2">
      <c r="A28" s="3" t="str">
        <f t="shared" si="3"/>
        <v>20152</v>
      </c>
      <c r="B28" s="49">
        <f t="shared" si="4"/>
        <v>2015</v>
      </c>
      <c r="C28" s="52">
        <v>42063</v>
      </c>
      <c r="D28" s="53">
        <f>+Inputs!D28</f>
        <v>22733400.235000003</v>
      </c>
      <c r="E28" s="201">
        <v>630.40499999999997</v>
      </c>
      <c r="F28" s="201">
        <v>0</v>
      </c>
      <c r="G28" s="53">
        <f>+Inputs!G28</f>
        <v>28</v>
      </c>
      <c r="H28" s="105">
        <f t="shared" si="6"/>
        <v>0</v>
      </c>
      <c r="I28" s="53">
        <f>+Inputs!I28</f>
        <v>304</v>
      </c>
      <c r="J28" s="53">
        <f>+Inputs!J28</f>
        <v>0</v>
      </c>
      <c r="K28" s="53">
        <f>+Inputs!M28</f>
        <v>26</v>
      </c>
      <c r="L28" s="53">
        <f t="shared" si="5"/>
        <v>21249418.920415595</v>
      </c>
      <c r="M28" s="37">
        <f t="shared" si="0"/>
        <v>-1483981.314584408</v>
      </c>
      <c r="N28" s="45">
        <f t="shared" si="1"/>
        <v>-6.5277578331625577E-2</v>
      </c>
      <c r="O28" s="12">
        <f t="shared" si="2"/>
        <v>6.5277578331625577E-2</v>
      </c>
    </row>
    <row r="29" spans="1:25" x14ac:dyDescent="0.2">
      <c r="A29" s="3" t="str">
        <f t="shared" si="3"/>
        <v>20153</v>
      </c>
      <c r="B29" s="49">
        <f t="shared" si="4"/>
        <v>2015</v>
      </c>
      <c r="C29" s="52">
        <v>42094</v>
      </c>
      <c r="D29" s="53">
        <f>+Inputs!D29</f>
        <v>22719770.995000001</v>
      </c>
      <c r="E29" s="201">
        <v>547.82999999999993</v>
      </c>
      <c r="F29" s="201">
        <v>0</v>
      </c>
      <c r="G29" s="53">
        <f>+Inputs!G29</f>
        <v>31</v>
      </c>
      <c r="H29" s="105">
        <f t="shared" si="6"/>
        <v>0.33333333333333331</v>
      </c>
      <c r="I29" s="53">
        <f>+Inputs!I29</f>
        <v>352</v>
      </c>
      <c r="J29" s="53">
        <f>+Inputs!J29</f>
        <v>0</v>
      </c>
      <c r="K29" s="53">
        <f>+Inputs!M29</f>
        <v>27</v>
      </c>
      <c r="L29" s="53">
        <f t="shared" si="5"/>
        <v>22402777.272662401</v>
      </c>
      <c r="M29" s="37">
        <f t="shared" si="0"/>
        <v>-316993.72233759984</v>
      </c>
      <c r="N29" s="45">
        <f t="shared" si="1"/>
        <v>-1.3952329114908837E-2</v>
      </c>
      <c r="O29" s="12">
        <f t="shared" si="2"/>
        <v>1.3952329114908837E-2</v>
      </c>
      <c r="Q29" s="47" t="s">
        <v>275</v>
      </c>
    </row>
    <row r="30" spans="1:25" x14ac:dyDescent="0.2">
      <c r="A30" s="3" t="str">
        <f t="shared" si="3"/>
        <v>20154</v>
      </c>
      <c r="B30" s="49">
        <f t="shared" si="4"/>
        <v>2015</v>
      </c>
      <c r="C30" s="52">
        <v>42124</v>
      </c>
      <c r="D30" s="53">
        <f>+Inputs!D30</f>
        <v>19884327.555</v>
      </c>
      <c r="E30" s="201">
        <v>338.72500000000002</v>
      </c>
      <c r="F30" s="201">
        <v>0.71000000000000008</v>
      </c>
      <c r="G30" s="53">
        <f>+Inputs!G30</f>
        <v>30</v>
      </c>
      <c r="H30" s="105">
        <f t="shared" si="6"/>
        <v>1</v>
      </c>
      <c r="I30" s="53">
        <f>+Inputs!I30</f>
        <v>336</v>
      </c>
      <c r="J30" s="53">
        <f>+Inputs!J30</f>
        <v>0</v>
      </c>
      <c r="K30" s="53">
        <f>+Inputs!M30</f>
        <v>28</v>
      </c>
      <c r="L30" s="53">
        <f t="shared" si="5"/>
        <v>20271144.00613172</v>
      </c>
      <c r="M30" s="37">
        <f t="shared" si="0"/>
        <v>386816.4511317201</v>
      </c>
      <c r="N30" s="45">
        <f t="shared" si="1"/>
        <v>1.9453333287826141E-2</v>
      </c>
      <c r="O30" s="12">
        <f t="shared" si="2"/>
        <v>1.9453333287826141E-2</v>
      </c>
      <c r="Q30" t="s">
        <v>19</v>
      </c>
    </row>
    <row r="31" spans="1:25" ht="13.5" thickBot="1" x14ac:dyDescent="0.25">
      <c r="A31" s="3" t="str">
        <f t="shared" si="3"/>
        <v>20155</v>
      </c>
      <c r="B31" s="49">
        <f t="shared" si="4"/>
        <v>2015</v>
      </c>
      <c r="C31" s="52">
        <v>42155</v>
      </c>
      <c r="D31" s="53">
        <f>+Inputs!D31</f>
        <v>20081857.650000002</v>
      </c>
      <c r="E31" s="201">
        <v>144.06</v>
      </c>
      <c r="F31" s="201">
        <v>23.914999999999999</v>
      </c>
      <c r="G31" s="53">
        <f>+Inputs!G31</f>
        <v>31</v>
      </c>
      <c r="H31" s="105">
        <f t="shared" si="6"/>
        <v>1</v>
      </c>
      <c r="I31" s="53">
        <f>+Inputs!I31</f>
        <v>320</v>
      </c>
      <c r="J31" s="53">
        <f>+Inputs!J31</f>
        <v>0</v>
      </c>
      <c r="K31" s="53">
        <f>+Inputs!M31</f>
        <v>29</v>
      </c>
      <c r="L31" s="53">
        <f t="shared" si="5"/>
        <v>19965343.487256587</v>
      </c>
      <c r="M31" s="37">
        <f t="shared" si="0"/>
        <v>-116514.16274341568</v>
      </c>
      <c r="N31" s="45">
        <f t="shared" si="1"/>
        <v>-5.8019613909281783E-3</v>
      </c>
      <c r="O31" s="12">
        <f t="shared" si="2"/>
        <v>5.8019613909281783E-3</v>
      </c>
    </row>
    <row r="32" spans="1:25" x14ac:dyDescent="0.2">
      <c r="A32" s="3" t="str">
        <f t="shared" si="3"/>
        <v>20156</v>
      </c>
      <c r="B32" s="49">
        <f t="shared" si="4"/>
        <v>2015</v>
      </c>
      <c r="C32" s="52">
        <v>42185</v>
      </c>
      <c r="D32" s="53">
        <f>+Inputs!D32</f>
        <v>19967931.074999999</v>
      </c>
      <c r="E32" s="201">
        <v>21.37</v>
      </c>
      <c r="F32" s="201">
        <v>69.710000000000008</v>
      </c>
      <c r="G32" s="53">
        <f>+Inputs!G32</f>
        <v>30</v>
      </c>
      <c r="H32" s="105">
        <f t="shared" si="6"/>
        <v>0.66666666666666663</v>
      </c>
      <c r="I32" s="53">
        <f>+Inputs!I32</f>
        <v>352</v>
      </c>
      <c r="J32" s="53">
        <f>+Inputs!J32</f>
        <v>0</v>
      </c>
      <c r="K32" s="53">
        <f>+Inputs!M32</f>
        <v>30</v>
      </c>
      <c r="L32" s="53">
        <f t="shared" si="5"/>
        <v>20496313.911291957</v>
      </c>
      <c r="M32" s="37">
        <f t="shared" si="0"/>
        <v>528382.83629195765</v>
      </c>
      <c r="N32" s="45">
        <f t="shared" si="1"/>
        <v>2.6461571522224302E-2</v>
      </c>
      <c r="O32" s="12">
        <f t="shared" si="2"/>
        <v>2.6461571522224302E-2</v>
      </c>
      <c r="Q32" s="92" t="s">
        <v>20</v>
      </c>
      <c r="R32" s="92"/>
    </row>
    <row r="33" spans="1:25" x14ac:dyDescent="0.2">
      <c r="A33" s="3" t="str">
        <f t="shared" si="3"/>
        <v>20157</v>
      </c>
      <c r="B33" s="49">
        <f t="shared" si="4"/>
        <v>2015</v>
      </c>
      <c r="C33" s="52">
        <v>42216</v>
      </c>
      <c r="D33" s="53">
        <f>+Inputs!D33</f>
        <v>22033398.199999999</v>
      </c>
      <c r="E33" s="201">
        <v>1.24</v>
      </c>
      <c r="F33" s="201">
        <v>140.78500000000003</v>
      </c>
      <c r="G33" s="53">
        <f>+Inputs!G33</f>
        <v>31</v>
      </c>
      <c r="H33" s="105">
        <f t="shared" si="6"/>
        <v>0</v>
      </c>
      <c r="I33" s="53">
        <f>+Inputs!I33</f>
        <v>352</v>
      </c>
      <c r="J33" s="53">
        <f>+Inputs!J33</f>
        <v>0</v>
      </c>
      <c r="K33" s="53">
        <f>+Inputs!M33</f>
        <v>31</v>
      </c>
      <c r="L33" s="53">
        <f t="shared" si="5"/>
        <v>22903346.76259264</v>
      </c>
      <c r="M33" s="37">
        <f t="shared" si="0"/>
        <v>869948.56259264052</v>
      </c>
      <c r="N33" s="45">
        <f t="shared" si="1"/>
        <v>3.9483177070373125E-2</v>
      </c>
      <c r="O33" s="12">
        <f t="shared" si="2"/>
        <v>3.9483177070373125E-2</v>
      </c>
      <c r="P33"/>
      <c r="Q33" t="s">
        <v>21</v>
      </c>
      <c r="R33" s="112">
        <v>0.96027576185823249</v>
      </c>
    </row>
    <row r="34" spans="1:25" x14ac:dyDescent="0.2">
      <c r="A34" s="3" t="str">
        <f t="shared" si="3"/>
        <v>20158</v>
      </c>
      <c r="B34" s="49">
        <f t="shared" si="4"/>
        <v>2015</v>
      </c>
      <c r="C34" s="52">
        <v>42247</v>
      </c>
      <c r="D34" s="53">
        <f>+Inputs!D34</f>
        <v>21201546.775000002</v>
      </c>
      <c r="E34" s="201">
        <v>3.5549999999999997</v>
      </c>
      <c r="F34" s="201">
        <v>122.37</v>
      </c>
      <c r="G34" s="53">
        <f>+Inputs!G34</f>
        <v>31</v>
      </c>
      <c r="H34" s="105">
        <f t="shared" si="6"/>
        <v>0</v>
      </c>
      <c r="I34" s="53">
        <f>+Inputs!I34</f>
        <v>336</v>
      </c>
      <c r="J34" s="53">
        <f>+Inputs!J34</f>
        <v>0</v>
      </c>
      <c r="K34" s="53">
        <f>+Inputs!M34</f>
        <v>32</v>
      </c>
      <c r="L34" s="53">
        <f t="shared" si="5"/>
        <v>22304469.34918043</v>
      </c>
      <c r="M34" s="37">
        <f t="shared" si="0"/>
        <v>1102922.5741804279</v>
      </c>
      <c r="N34" s="45">
        <f t="shared" si="1"/>
        <v>5.2020854227529716E-2</v>
      </c>
      <c r="O34" s="12">
        <f t="shared" si="2"/>
        <v>5.2020854227529716E-2</v>
      </c>
      <c r="P34"/>
      <c r="Q34" t="s">
        <v>22</v>
      </c>
      <c r="R34" s="112">
        <v>0.92212953881240878</v>
      </c>
    </row>
    <row r="35" spans="1:25" x14ac:dyDescent="0.2">
      <c r="A35" s="3" t="str">
        <f t="shared" si="3"/>
        <v>20159</v>
      </c>
      <c r="B35" s="49">
        <f t="shared" si="4"/>
        <v>2015</v>
      </c>
      <c r="C35" s="52">
        <v>42277</v>
      </c>
      <c r="D35" s="53">
        <f>+Inputs!D35</f>
        <v>21227652.564999998</v>
      </c>
      <c r="E35" s="201">
        <v>44.225000000000009</v>
      </c>
      <c r="F35" s="201">
        <v>50.904999999999987</v>
      </c>
      <c r="G35" s="53">
        <f>+Inputs!G35</f>
        <v>30</v>
      </c>
      <c r="H35" s="105">
        <f t="shared" si="6"/>
        <v>0.33333333333333331</v>
      </c>
      <c r="I35" s="53">
        <f>+Inputs!I35</f>
        <v>336</v>
      </c>
      <c r="J35" s="53">
        <f>+Inputs!J35</f>
        <v>0</v>
      </c>
      <c r="K35" s="53">
        <f>+Inputs!M35</f>
        <v>33</v>
      </c>
      <c r="L35" s="53">
        <f t="shared" si="5"/>
        <v>20212988.725801583</v>
      </c>
      <c r="M35" s="37">
        <f t="shared" si="0"/>
        <v>-1014663.8391984142</v>
      </c>
      <c r="N35" s="45">
        <f t="shared" si="1"/>
        <v>-4.779915424427969E-2</v>
      </c>
      <c r="O35" s="12">
        <f t="shared" si="2"/>
        <v>4.779915424427969E-2</v>
      </c>
      <c r="P35"/>
      <c r="Q35" t="s">
        <v>23</v>
      </c>
      <c r="R35" s="112">
        <v>0.91726263498818439</v>
      </c>
    </row>
    <row r="36" spans="1:25" x14ac:dyDescent="0.2">
      <c r="A36" s="3" t="str">
        <f t="shared" si="3"/>
        <v>201510</v>
      </c>
      <c r="B36" s="49">
        <f t="shared" si="4"/>
        <v>2015</v>
      </c>
      <c r="C36" s="52">
        <v>42308</v>
      </c>
      <c r="D36" s="53">
        <f>+Inputs!D36</f>
        <v>20191537.286509268</v>
      </c>
      <c r="E36" s="201">
        <v>222.22000000000003</v>
      </c>
      <c r="F36" s="201">
        <v>3.3</v>
      </c>
      <c r="G36" s="53">
        <f>+Inputs!G36</f>
        <v>31</v>
      </c>
      <c r="H36" s="105">
        <f t="shared" si="6"/>
        <v>1</v>
      </c>
      <c r="I36" s="53">
        <f>+Inputs!I36</f>
        <v>336</v>
      </c>
      <c r="J36" s="53">
        <f>+Inputs!J36</f>
        <v>0</v>
      </c>
      <c r="K36" s="53">
        <f>+Inputs!M36</f>
        <v>34</v>
      </c>
      <c r="L36" s="53">
        <f t="shared" si="5"/>
        <v>20168665.148464724</v>
      </c>
      <c r="M36" s="37">
        <f t="shared" si="0"/>
        <v>-22872.138044543564</v>
      </c>
      <c r="N36" s="45">
        <f t="shared" si="1"/>
        <v>-1.132758626547237E-3</v>
      </c>
      <c r="O36" s="12">
        <f t="shared" si="2"/>
        <v>1.132758626547237E-3</v>
      </c>
      <c r="P36"/>
      <c r="Q36" t="s">
        <v>24</v>
      </c>
      <c r="R36" s="113">
        <v>423990.96531623346</v>
      </c>
    </row>
    <row r="37" spans="1:25" ht="13.5" thickBot="1" x14ac:dyDescent="0.25">
      <c r="A37" s="3" t="str">
        <f t="shared" si="3"/>
        <v>201511</v>
      </c>
      <c r="B37" s="49">
        <f t="shared" si="4"/>
        <v>2015</v>
      </c>
      <c r="C37" s="52">
        <v>42338</v>
      </c>
      <c r="D37" s="53">
        <f>+Inputs!D37</f>
        <v>20615659.954999998</v>
      </c>
      <c r="E37" s="201">
        <v>420.84500000000008</v>
      </c>
      <c r="F37" s="201">
        <v>0.09</v>
      </c>
      <c r="G37" s="53">
        <f>+Inputs!G37</f>
        <v>30</v>
      </c>
      <c r="H37" s="105">
        <f t="shared" si="6"/>
        <v>1</v>
      </c>
      <c r="I37" s="53">
        <f>+Inputs!I37</f>
        <v>336</v>
      </c>
      <c r="J37" s="53">
        <f>+Inputs!J37</f>
        <v>0</v>
      </c>
      <c r="K37" s="53">
        <f>+Inputs!M37</f>
        <v>35</v>
      </c>
      <c r="L37" s="53">
        <f t="shared" si="5"/>
        <v>20839238.979332171</v>
      </c>
      <c r="M37" s="37">
        <f t="shared" si="0"/>
        <v>223579.02433217317</v>
      </c>
      <c r="N37" s="45">
        <f t="shared" si="1"/>
        <v>1.0845106332768535E-2</v>
      </c>
      <c r="O37" s="12">
        <f t="shared" si="2"/>
        <v>1.0845106332768535E-2</v>
      </c>
      <c r="P37"/>
      <c r="Q37" s="90" t="s">
        <v>25</v>
      </c>
      <c r="R37" s="90">
        <v>120</v>
      </c>
    </row>
    <row r="38" spans="1:25" x14ac:dyDescent="0.2">
      <c r="A38" s="3" t="str">
        <f t="shared" si="3"/>
        <v>201512</v>
      </c>
      <c r="B38" s="49">
        <f t="shared" si="4"/>
        <v>2015</v>
      </c>
      <c r="C38" s="52">
        <v>42369</v>
      </c>
      <c r="D38" s="53">
        <f>+Inputs!D38</f>
        <v>21383445.974999998</v>
      </c>
      <c r="E38" s="201">
        <v>579.06000000000006</v>
      </c>
      <c r="F38" s="201">
        <v>0</v>
      </c>
      <c r="G38" s="53">
        <f>+Inputs!G38</f>
        <v>31</v>
      </c>
      <c r="H38" s="105">
        <f t="shared" si="6"/>
        <v>0.66666666666666663</v>
      </c>
      <c r="I38" s="53">
        <f>+Inputs!I38</f>
        <v>336</v>
      </c>
      <c r="J38" s="53">
        <f>+Inputs!J38</f>
        <v>0</v>
      </c>
      <c r="K38" s="53">
        <f>+Inputs!M38</f>
        <v>36</v>
      </c>
      <c r="L38" s="53">
        <f t="shared" si="5"/>
        <v>22367773.548536897</v>
      </c>
      <c r="M38" s="37">
        <f t="shared" si="0"/>
        <v>984327.57353689894</v>
      </c>
      <c r="N38" s="45">
        <f t="shared" si="1"/>
        <v>4.6032223930965323E-2</v>
      </c>
      <c r="O38" s="12">
        <f t="shared" si="2"/>
        <v>4.6032223930965323E-2</v>
      </c>
      <c r="P38"/>
    </row>
    <row r="39" spans="1:25" ht="13.5" thickBot="1" x14ac:dyDescent="0.25">
      <c r="A39" s="3" t="str">
        <f t="shared" si="3"/>
        <v>20161</v>
      </c>
      <c r="B39" s="49">
        <f t="shared" si="4"/>
        <v>2016</v>
      </c>
      <c r="C39" s="52">
        <v>42400</v>
      </c>
      <c r="D39" s="53">
        <f>+Inputs!D39</f>
        <v>23561827.41</v>
      </c>
      <c r="E39" s="201">
        <v>703.65</v>
      </c>
      <c r="F39" s="201">
        <v>0</v>
      </c>
      <c r="G39" s="53">
        <f>+Inputs!G39</f>
        <v>31</v>
      </c>
      <c r="H39" s="105">
        <f t="shared" si="6"/>
        <v>0</v>
      </c>
      <c r="I39" s="53">
        <f>+Inputs!I39</f>
        <v>320</v>
      </c>
      <c r="J39" s="53">
        <f>+Inputs!J39</f>
        <v>0</v>
      </c>
      <c r="K39" s="53">
        <f>+Inputs!M39</f>
        <v>37</v>
      </c>
      <c r="L39" s="53">
        <f t="shared" si="5"/>
        <v>23280629.445469007</v>
      </c>
      <c r="M39" s="37">
        <f t="shared" si="0"/>
        <v>-281197.96453099325</v>
      </c>
      <c r="N39" s="45">
        <f t="shared" si="1"/>
        <v>-1.1934471789384575E-2</v>
      </c>
      <c r="O39" s="12">
        <f t="shared" si="2"/>
        <v>1.1934471789384575E-2</v>
      </c>
      <c r="P39"/>
      <c r="Q39" t="s">
        <v>26</v>
      </c>
    </row>
    <row r="40" spans="1:25" x14ac:dyDescent="0.2">
      <c r="A40" s="3" t="str">
        <f t="shared" si="3"/>
        <v>20162</v>
      </c>
      <c r="B40" s="49">
        <f t="shared" si="4"/>
        <v>2016</v>
      </c>
      <c r="C40" s="52">
        <v>42429</v>
      </c>
      <c r="D40" s="53">
        <f>+Inputs!D40</f>
        <v>21655030.84</v>
      </c>
      <c r="E40" s="201">
        <v>630.40499999999997</v>
      </c>
      <c r="F40" s="201">
        <v>0</v>
      </c>
      <c r="G40" s="53">
        <f>+Inputs!G40</f>
        <v>29</v>
      </c>
      <c r="H40" s="105">
        <f t="shared" si="6"/>
        <v>0</v>
      </c>
      <c r="I40" s="53">
        <f>+Inputs!I40</f>
        <v>320</v>
      </c>
      <c r="J40" s="53">
        <f>+Inputs!J40</f>
        <v>0</v>
      </c>
      <c r="K40" s="53">
        <f>+Inputs!M40</f>
        <v>38</v>
      </c>
      <c r="L40" s="53">
        <f t="shared" si="5"/>
        <v>22028902.371261336</v>
      </c>
      <c r="M40" s="37">
        <f t="shared" si="0"/>
        <v>373871.53126133606</v>
      </c>
      <c r="N40" s="45">
        <f t="shared" si="1"/>
        <v>1.7264881034975983E-2</v>
      </c>
      <c r="O40" s="12">
        <f t="shared" si="2"/>
        <v>1.7264881034975983E-2</v>
      </c>
      <c r="P40"/>
      <c r="Q40" s="91"/>
      <c r="R40" s="91" t="s">
        <v>30</v>
      </c>
      <c r="S40" s="91" t="s">
        <v>31</v>
      </c>
      <c r="T40" s="91" t="s">
        <v>32</v>
      </c>
      <c r="U40" s="91" t="s">
        <v>33</v>
      </c>
      <c r="V40" s="91" t="s">
        <v>34</v>
      </c>
    </row>
    <row r="41" spans="1:25" x14ac:dyDescent="0.2">
      <c r="A41" s="3" t="str">
        <f t="shared" si="3"/>
        <v>20163</v>
      </c>
      <c r="B41" s="49">
        <f t="shared" si="4"/>
        <v>2016</v>
      </c>
      <c r="C41" s="52">
        <v>42460</v>
      </c>
      <c r="D41" s="53">
        <f>+Inputs!D41</f>
        <v>21636172.899999999</v>
      </c>
      <c r="E41" s="201">
        <v>547.82999999999993</v>
      </c>
      <c r="F41" s="201">
        <v>0</v>
      </c>
      <c r="G41" s="53">
        <f>+Inputs!G41</f>
        <v>31</v>
      </c>
      <c r="H41" s="105">
        <f t="shared" si="6"/>
        <v>0.33333333333333331</v>
      </c>
      <c r="I41" s="53">
        <f>+Inputs!I41</f>
        <v>352</v>
      </c>
      <c r="J41" s="53">
        <f>+Inputs!J41</f>
        <v>0</v>
      </c>
      <c r="K41" s="53">
        <f>+Inputs!M41</f>
        <v>39</v>
      </c>
      <c r="L41" s="53">
        <f t="shared" si="5"/>
        <v>22584390.708902113</v>
      </c>
      <c r="M41" s="37">
        <f t="shared" si="0"/>
        <v>948217.80890211463</v>
      </c>
      <c r="N41" s="45">
        <f t="shared" si="1"/>
        <v>4.3825579194836012E-2</v>
      </c>
      <c r="O41" s="12">
        <f t="shared" si="2"/>
        <v>4.3825579194836012E-2</v>
      </c>
      <c r="P41"/>
      <c r="Q41" t="s">
        <v>27</v>
      </c>
      <c r="R41">
        <v>7</v>
      </c>
      <c r="S41">
        <v>238424244349937.44</v>
      </c>
      <c r="T41">
        <v>34060606335705.348</v>
      </c>
      <c r="U41">
        <v>189.46943932251477</v>
      </c>
      <c r="V41">
        <v>5.1605413713013566E-59</v>
      </c>
    </row>
    <row r="42" spans="1:25" x14ac:dyDescent="0.2">
      <c r="A42" s="3" t="str">
        <f t="shared" si="3"/>
        <v>20164</v>
      </c>
      <c r="B42" s="49">
        <f t="shared" si="4"/>
        <v>2016</v>
      </c>
      <c r="C42" s="52">
        <v>42490</v>
      </c>
      <c r="D42" s="53">
        <f>+Inputs!D42</f>
        <v>20336536.75</v>
      </c>
      <c r="E42" s="201">
        <v>338.72500000000002</v>
      </c>
      <c r="F42" s="201">
        <v>0.71000000000000008</v>
      </c>
      <c r="G42" s="53">
        <f>+Inputs!G42</f>
        <v>30</v>
      </c>
      <c r="H42" s="105">
        <f t="shared" si="6"/>
        <v>1</v>
      </c>
      <c r="I42" s="53">
        <f>+Inputs!I42</f>
        <v>336</v>
      </c>
      <c r="J42" s="53">
        <f>+Inputs!J42</f>
        <v>0</v>
      </c>
      <c r="K42" s="53">
        <f>+Inputs!M42</f>
        <v>40</v>
      </c>
      <c r="L42" s="53">
        <f t="shared" si="5"/>
        <v>20452757.442371432</v>
      </c>
      <c r="M42" s="37">
        <f t="shared" si="0"/>
        <v>116220.69237143174</v>
      </c>
      <c r="N42" s="45">
        <f t="shared" si="1"/>
        <v>5.7148714060879487E-3</v>
      </c>
      <c r="O42" s="12">
        <f t="shared" si="2"/>
        <v>5.7148714060879487E-3</v>
      </c>
      <c r="P42"/>
      <c r="Q42" t="s">
        <v>28</v>
      </c>
      <c r="R42">
        <v>112</v>
      </c>
      <c r="S42">
        <v>20134053931016.648</v>
      </c>
      <c r="T42">
        <v>179768338669.7915</v>
      </c>
    </row>
    <row r="43" spans="1:25" ht="13.5" thickBot="1" x14ac:dyDescent="0.25">
      <c r="A43" s="3" t="str">
        <f t="shared" si="3"/>
        <v>20165</v>
      </c>
      <c r="B43" s="49">
        <f t="shared" si="4"/>
        <v>2016</v>
      </c>
      <c r="C43" s="52">
        <v>42521</v>
      </c>
      <c r="D43" s="53">
        <f>+Inputs!D43</f>
        <v>20078198.850000001</v>
      </c>
      <c r="E43" s="201">
        <v>144.06</v>
      </c>
      <c r="F43" s="201">
        <v>23.914999999999999</v>
      </c>
      <c r="G43" s="53">
        <f>+Inputs!G43</f>
        <v>31</v>
      </c>
      <c r="H43" s="105">
        <f t="shared" si="6"/>
        <v>1</v>
      </c>
      <c r="I43" s="53">
        <f>+Inputs!I43</f>
        <v>336</v>
      </c>
      <c r="J43" s="53">
        <f>+Inputs!J43</f>
        <v>0</v>
      </c>
      <c r="K43" s="53">
        <f>+Inputs!M43</f>
        <v>41</v>
      </c>
      <c r="L43" s="53">
        <f t="shared" si="5"/>
        <v>20324258.910360668</v>
      </c>
      <c r="M43" s="37">
        <f t="shared" si="0"/>
        <v>246060.06036066636</v>
      </c>
      <c r="N43" s="45">
        <f t="shared" si="1"/>
        <v>1.2255086335130422E-2</v>
      </c>
      <c r="O43" s="12">
        <f t="shared" si="2"/>
        <v>1.2255086335130422E-2</v>
      </c>
      <c r="P43"/>
      <c r="Q43" s="90" t="s">
        <v>11</v>
      </c>
      <c r="R43" s="90">
        <v>119</v>
      </c>
      <c r="S43" s="90">
        <v>258558298280954.09</v>
      </c>
      <c r="T43" s="90"/>
      <c r="U43" s="90"/>
      <c r="V43" s="90"/>
    </row>
    <row r="44" spans="1:25" ht="13.5" thickBot="1" x14ac:dyDescent="0.25">
      <c r="A44" s="3" t="str">
        <f t="shared" si="3"/>
        <v>20166</v>
      </c>
      <c r="B44" s="49">
        <f t="shared" si="4"/>
        <v>2016</v>
      </c>
      <c r="C44" s="52">
        <v>42551</v>
      </c>
      <c r="D44" s="53">
        <f>+Inputs!D44</f>
        <v>20739146.41</v>
      </c>
      <c r="E44" s="201">
        <v>21.37</v>
      </c>
      <c r="F44" s="201">
        <v>69.710000000000008</v>
      </c>
      <c r="G44" s="53">
        <f>+Inputs!G44</f>
        <v>30</v>
      </c>
      <c r="H44" s="105">
        <f t="shared" si="6"/>
        <v>0.66666666666666663</v>
      </c>
      <c r="I44" s="53">
        <f>+Inputs!I44</f>
        <v>352</v>
      </c>
      <c r="J44" s="53">
        <f>+Inputs!J44</f>
        <v>0</v>
      </c>
      <c r="K44" s="53">
        <f>+Inputs!M44</f>
        <v>42</v>
      </c>
      <c r="L44" s="53">
        <f t="shared" si="5"/>
        <v>20677927.347531669</v>
      </c>
      <c r="M44" s="37">
        <f t="shared" si="0"/>
        <v>-61219.062468331307</v>
      </c>
      <c r="N44" s="45">
        <f t="shared" si="1"/>
        <v>-2.951860277085112E-3</v>
      </c>
      <c r="O44" s="12">
        <f t="shared" si="2"/>
        <v>2.951860277085112E-3</v>
      </c>
      <c r="P44"/>
    </row>
    <row r="45" spans="1:25" x14ac:dyDescent="0.2">
      <c r="A45" s="3" t="str">
        <f t="shared" si="3"/>
        <v>20167</v>
      </c>
      <c r="B45" s="49">
        <f t="shared" si="4"/>
        <v>2016</v>
      </c>
      <c r="C45" s="52">
        <v>42582</v>
      </c>
      <c r="D45" s="53">
        <f>+Inputs!D45</f>
        <v>23027670.599999998</v>
      </c>
      <c r="E45" s="201">
        <v>1.24</v>
      </c>
      <c r="F45" s="201">
        <v>140.78500000000003</v>
      </c>
      <c r="G45" s="53">
        <f>+Inputs!G45</f>
        <v>31</v>
      </c>
      <c r="H45" s="105">
        <f t="shared" si="6"/>
        <v>0</v>
      </c>
      <c r="I45" s="53">
        <f>+Inputs!I45</f>
        <v>320</v>
      </c>
      <c r="J45" s="53">
        <f>+Inputs!J45</f>
        <v>0</v>
      </c>
      <c r="K45" s="53">
        <f>+Inputs!M45</f>
        <v>43</v>
      </c>
      <c r="L45" s="53">
        <f t="shared" si="5"/>
        <v>22730356.225103613</v>
      </c>
      <c r="M45" s="37">
        <f t="shared" si="0"/>
        <v>-297314.37489638478</v>
      </c>
      <c r="N45" s="45">
        <f t="shared" si="1"/>
        <v>-1.2911178905624297E-2</v>
      </c>
      <c r="O45" s="12">
        <f t="shared" si="2"/>
        <v>1.2911178905624297E-2</v>
      </c>
      <c r="P45"/>
      <c r="Q45" s="91"/>
      <c r="R45" s="91" t="s">
        <v>35</v>
      </c>
      <c r="S45" s="91" t="s">
        <v>24</v>
      </c>
      <c r="T45" s="91" t="s">
        <v>36</v>
      </c>
      <c r="U45" s="91" t="s">
        <v>37</v>
      </c>
      <c r="V45" s="91" t="s">
        <v>38</v>
      </c>
      <c r="W45" s="91" t="s">
        <v>39</v>
      </c>
      <c r="X45" s="91" t="s">
        <v>105</v>
      </c>
      <c r="Y45" s="91" t="s">
        <v>106</v>
      </c>
    </row>
    <row r="46" spans="1:25" x14ac:dyDescent="0.2">
      <c r="A46" s="3" t="str">
        <f t="shared" si="3"/>
        <v>20168</v>
      </c>
      <c r="B46" s="49">
        <f t="shared" si="4"/>
        <v>2016</v>
      </c>
      <c r="C46" s="52">
        <v>42613</v>
      </c>
      <c r="D46" s="53">
        <f>+Inputs!D46</f>
        <v>24179844.139999997</v>
      </c>
      <c r="E46" s="201">
        <v>3.5549999999999997</v>
      </c>
      <c r="F46" s="201">
        <v>122.37</v>
      </c>
      <c r="G46" s="53">
        <f>+Inputs!G46</f>
        <v>31</v>
      </c>
      <c r="H46" s="105">
        <f t="shared" si="6"/>
        <v>0</v>
      </c>
      <c r="I46" s="53">
        <f>+Inputs!I46</f>
        <v>368</v>
      </c>
      <c r="J46" s="53">
        <f>+Inputs!J46</f>
        <v>0</v>
      </c>
      <c r="K46" s="53">
        <f>+Inputs!M46</f>
        <v>44</v>
      </c>
      <c r="L46" s="53">
        <f t="shared" si="5"/>
        <v>22840686.759148877</v>
      </c>
      <c r="M46" s="37">
        <f t="shared" si="0"/>
        <v>-1339157.3808511198</v>
      </c>
      <c r="N46" s="45">
        <f t="shared" si="1"/>
        <v>-5.538320979645156E-2</v>
      </c>
      <c r="O46" s="12">
        <f t="shared" si="2"/>
        <v>5.538320979645156E-2</v>
      </c>
      <c r="P46"/>
      <c r="Q46" t="s">
        <v>29</v>
      </c>
      <c r="R46" s="113">
        <v>2258658.1192288594</v>
      </c>
      <c r="S46" s="113">
        <v>1496349.7974814321</v>
      </c>
      <c r="T46" s="113">
        <v>1.5094452667621567</v>
      </c>
      <c r="U46" s="113">
        <v>0.13400103060277765</v>
      </c>
      <c r="V46" s="113">
        <v>-706167.19469671417</v>
      </c>
      <c r="W46" s="113">
        <v>5223483.433154433</v>
      </c>
      <c r="X46" s="113">
        <v>-706167.19469671417</v>
      </c>
      <c r="Y46" s="113">
        <v>5223483.433154433</v>
      </c>
    </row>
    <row r="47" spans="1:25" x14ac:dyDescent="0.2">
      <c r="A47" s="3" t="str">
        <f t="shared" si="3"/>
        <v>20169</v>
      </c>
      <c r="B47" s="49">
        <f t="shared" si="4"/>
        <v>2016</v>
      </c>
      <c r="C47" s="52">
        <v>42643</v>
      </c>
      <c r="D47" s="53">
        <f>+Inputs!D47</f>
        <v>20570015.609999999</v>
      </c>
      <c r="E47" s="201">
        <v>44.225000000000009</v>
      </c>
      <c r="F47" s="201">
        <v>50.904999999999987</v>
      </c>
      <c r="G47" s="53">
        <f>+Inputs!G47</f>
        <v>30</v>
      </c>
      <c r="H47" s="105">
        <f t="shared" si="6"/>
        <v>0.33333333333333331</v>
      </c>
      <c r="I47" s="53">
        <f>+Inputs!I47</f>
        <v>336</v>
      </c>
      <c r="J47" s="53">
        <f>+Inputs!J47</f>
        <v>0</v>
      </c>
      <c r="K47" s="53">
        <f>+Inputs!M47</f>
        <v>45</v>
      </c>
      <c r="L47" s="53">
        <f t="shared" si="5"/>
        <v>20394602.162041295</v>
      </c>
      <c r="M47" s="37">
        <f t="shared" si="0"/>
        <v>-175413.44795870408</v>
      </c>
      <c r="N47" s="45">
        <f t="shared" si="1"/>
        <v>-8.5276283345855994E-3</v>
      </c>
      <c r="O47" s="12">
        <f t="shared" si="2"/>
        <v>8.5276283345855994E-3</v>
      </c>
      <c r="P47"/>
      <c r="Q47" t="s">
        <v>4</v>
      </c>
      <c r="R47" s="113">
        <v>5946.3608205387</v>
      </c>
      <c r="S47" s="113">
        <v>270.60569874209762</v>
      </c>
      <c r="T47" s="113">
        <v>21.974263100075785</v>
      </c>
      <c r="U47" s="113">
        <v>2.0390315905097663E-42</v>
      </c>
      <c r="V47" s="113">
        <v>5410.1903161062</v>
      </c>
      <c r="W47" s="113">
        <v>6482.5313249711999</v>
      </c>
      <c r="X47" s="113">
        <v>5410.1903161062</v>
      </c>
      <c r="Y47" s="113">
        <v>6482.5313249711999</v>
      </c>
    </row>
    <row r="48" spans="1:25" x14ac:dyDescent="0.2">
      <c r="A48" s="3" t="str">
        <f t="shared" si="3"/>
        <v>201610</v>
      </c>
      <c r="B48" s="49">
        <f t="shared" si="4"/>
        <v>2016</v>
      </c>
      <c r="C48" s="52">
        <v>42674</v>
      </c>
      <c r="D48" s="53">
        <f>+Inputs!D48</f>
        <v>20577574.779999997</v>
      </c>
      <c r="E48" s="201">
        <v>222.22000000000003</v>
      </c>
      <c r="F48" s="201">
        <v>3.3</v>
      </c>
      <c r="G48" s="53">
        <f>+Inputs!G48</f>
        <v>31</v>
      </c>
      <c r="H48" s="105">
        <f t="shared" si="6"/>
        <v>1</v>
      </c>
      <c r="I48" s="53">
        <f>+Inputs!I48</f>
        <v>320</v>
      </c>
      <c r="J48" s="53">
        <f>+Inputs!J48</f>
        <v>0</v>
      </c>
      <c r="K48" s="53">
        <f>+Inputs!M48</f>
        <v>46</v>
      </c>
      <c r="L48" s="53">
        <f t="shared" si="5"/>
        <v>20172976.597840071</v>
      </c>
      <c r="M48" s="37">
        <f t="shared" si="0"/>
        <v>-404598.18215992674</v>
      </c>
      <c r="N48" s="45">
        <f t="shared" si="1"/>
        <v>-1.96620926657095E-2</v>
      </c>
      <c r="O48" s="12">
        <f t="shared" si="2"/>
        <v>1.96620926657095E-2</v>
      </c>
      <c r="P48"/>
      <c r="Q48" t="s">
        <v>5</v>
      </c>
      <c r="R48" s="113">
        <v>24882.048393118192</v>
      </c>
      <c r="S48" s="113">
        <v>1520.2390433348951</v>
      </c>
      <c r="T48" s="113">
        <v>16.367194687050869</v>
      </c>
      <c r="U48" s="113">
        <v>1.7632746982543656E-31</v>
      </c>
      <c r="V48" s="113">
        <v>21869.889600779916</v>
      </c>
      <c r="W48" s="113">
        <v>27894.207185456467</v>
      </c>
      <c r="X48" s="113">
        <v>21869.889600779916</v>
      </c>
      <c r="Y48" s="113">
        <v>27894.207185456467</v>
      </c>
    </row>
    <row r="49" spans="1:25" x14ac:dyDescent="0.2">
      <c r="A49" s="3" t="str">
        <f t="shared" si="3"/>
        <v>201611</v>
      </c>
      <c r="B49" s="49">
        <f t="shared" si="4"/>
        <v>2016</v>
      </c>
      <c r="C49" s="52">
        <v>42704</v>
      </c>
      <c r="D49" s="53">
        <f>+Inputs!D49</f>
        <v>20734381.805</v>
      </c>
      <c r="E49" s="201">
        <v>420.84500000000008</v>
      </c>
      <c r="F49" s="201">
        <v>0.09</v>
      </c>
      <c r="G49" s="53">
        <f>+Inputs!G49</f>
        <v>30</v>
      </c>
      <c r="H49" s="105">
        <f t="shared" si="6"/>
        <v>1</v>
      </c>
      <c r="I49" s="53">
        <f>+Inputs!I49</f>
        <v>352</v>
      </c>
      <c r="J49" s="53">
        <f>+Inputs!J49</f>
        <v>0</v>
      </c>
      <c r="K49" s="53">
        <f>+Inputs!M49</f>
        <v>47</v>
      </c>
      <c r="L49" s="53">
        <f t="shared" si="5"/>
        <v>21198154.402436249</v>
      </c>
      <c r="M49" s="37">
        <f t="shared" si="0"/>
        <v>463772.59743624926</v>
      </c>
      <c r="N49" s="45">
        <f t="shared" si="1"/>
        <v>2.2367322151095562E-2</v>
      </c>
      <c r="O49" s="12">
        <f t="shared" si="2"/>
        <v>2.2367322151095562E-2</v>
      </c>
      <c r="P49"/>
      <c r="Q49" t="s">
        <v>6</v>
      </c>
      <c r="R49" s="113">
        <v>406448.70984653354</v>
      </c>
      <c r="S49" s="113">
        <v>55060.738850609203</v>
      </c>
      <c r="T49" s="113">
        <v>7.3818244784057505</v>
      </c>
      <c r="U49" s="113">
        <v>2.948905158177983E-11</v>
      </c>
      <c r="V49" s="113">
        <v>297352.91378167178</v>
      </c>
      <c r="W49" s="113">
        <v>515544.5059113953</v>
      </c>
      <c r="X49" s="113">
        <v>297352.91378167178</v>
      </c>
      <c r="Y49" s="113">
        <v>515544.5059113953</v>
      </c>
    </row>
    <row r="50" spans="1:25" x14ac:dyDescent="0.2">
      <c r="A50" s="3" t="str">
        <f t="shared" si="3"/>
        <v>201612</v>
      </c>
      <c r="B50" s="49">
        <f t="shared" si="4"/>
        <v>2016</v>
      </c>
      <c r="C50" s="52">
        <v>42735</v>
      </c>
      <c r="D50" s="53">
        <f>+Inputs!D50</f>
        <v>22113618.544999998</v>
      </c>
      <c r="E50" s="201">
        <v>579.06000000000006</v>
      </c>
      <c r="F50" s="201">
        <v>0</v>
      </c>
      <c r="G50" s="53">
        <f>+Inputs!G50</f>
        <v>31</v>
      </c>
      <c r="H50" s="105">
        <f t="shared" si="6"/>
        <v>0.66666666666666663</v>
      </c>
      <c r="I50" s="53">
        <f>+Inputs!I50</f>
        <v>320</v>
      </c>
      <c r="J50" s="53">
        <f>+Inputs!J50</f>
        <v>0</v>
      </c>
      <c r="K50" s="53">
        <f>+Inputs!M50</f>
        <v>48</v>
      </c>
      <c r="L50" s="53">
        <f t="shared" si="5"/>
        <v>22372084.997912239</v>
      </c>
      <c r="M50" s="37">
        <f t="shared" si="0"/>
        <v>258466.45291224122</v>
      </c>
      <c r="N50" s="45">
        <f t="shared" si="1"/>
        <v>1.168811211906709E-2</v>
      </c>
      <c r="O50" s="12">
        <f t="shared" si="2"/>
        <v>1.168811211906709E-2</v>
      </c>
      <c r="P50"/>
      <c r="Q50" t="s">
        <v>18</v>
      </c>
      <c r="R50" s="113">
        <v>-467101.48120819684</v>
      </c>
      <c r="S50" s="113">
        <v>135091.28327382391</v>
      </c>
      <c r="T50" s="113">
        <v>-3.4576729888737772</v>
      </c>
      <c r="U50" s="113">
        <v>7.712010646615823E-4</v>
      </c>
      <c r="V50" s="113">
        <v>-734767.54232242214</v>
      </c>
      <c r="W50" s="113">
        <v>-199435.4200939716</v>
      </c>
      <c r="X50" s="113">
        <v>-734767.54232242214</v>
      </c>
      <c r="Y50" s="113">
        <v>-199435.4200939716</v>
      </c>
    </row>
    <row r="51" spans="1:25" x14ac:dyDescent="0.2">
      <c r="A51" s="3" t="str">
        <f t="shared" si="3"/>
        <v>20171</v>
      </c>
      <c r="B51" s="49">
        <f t="shared" si="4"/>
        <v>2017</v>
      </c>
      <c r="C51" s="52">
        <v>42766</v>
      </c>
      <c r="D51" s="53">
        <f>+Inputs!D51</f>
        <v>23287844.449999999</v>
      </c>
      <c r="E51" s="201">
        <v>703.65</v>
      </c>
      <c r="F51" s="201">
        <v>0</v>
      </c>
      <c r="G51" s="53">
        <f>+Inputs!G51</f>
        <v>31</v>
      </c>
      <c r="H51" s="105">
        <f t="shared" si="6"/>
        <v>0</v>
      </c>
      <c r="I51" s="53">
        <f>+Inputs!I51</f>
        <v>336</v>
      </c>
      <c r="J51" s="53">
        <f>+Inputs!J51</f>
        <v>0</v>
      </c>
      <c r="K51" s="53">
        <f>+Inputs!M51</f>
        <v>49</v>
      </c>
      <c r="L51" s="53">
        <f t="shared" si="5"/>
        <v>23639544.868573081</v>
      </c>
      <c r="M51" s="37">
        <f t="shared" si="0"/>
        <v>351700.41857308149</v>
      </c>
      <c r="N51" s="45">
        <f t="shared" si="1"/>
        <v>1.510231740546865E-2</v>
      </c>
      <c r="O51" s="12">
        <f t="shared" si="2"/>
        <v>1.510231740546865E-2</v>
      </c>
      <c r="P51"/>
      <c r="Q51" t="s">
        <v>7</v>
      </c>
      <c r="R51" s="113">
        <v>11627.963665702044</v>
      </c>
      <c r="S51" s="113">
        <v>2635.4973446893673</v>
      </c>
      <c r="T51" s="113">
        <v>4.4120566803578294</v>
      </c>
      <c r="U51" s="113">
        <v>2.3661190114191892E-5</v>
      </c>
      <c r="V51" s="113">
        <v>6406.0635087531946</v>
      </c>
      <c r="W51" s="113">
        <v>16849.863822650892</v>
      </c>
      <c r="X51" s="113">
        <v>6406.0635087531946</v>
      </c>
      <c r="Y51" s="113">
        <v>16849.863822650892</v>
      </c>
    </row>
    <row r="52" spans="1:25" x14ac:dyDescent="0.2">
      <c r="A52" s="3" t="str">
        <f t="shared" si="3"/>
        <v>20172</v>
      </c>
      <c r="B52" s="49">
        <f t="shared" si="4"/>
        <v>2017</v>
      </c>
      <c r="C52" s="52">
        <v>42794</v>
      </c>
      <c r="D52" s="53">
        <f>+Inputs!D52</f>
        <v>20360287.07</v>
      </c>
      <c r="E52" s="201">
        <v>630.40499999999997</v>
      </c>
      <c r="F52" s="201">
        <v>0</v>
      </c>
      <c r="G52" s="53">
        <f>+Inputs!G52</f>
        <v>28</v>
      </c>
      <c r="H52" s="105">
        <f t="shared" si="6"/>
        <v>0</v>
      </c>
      <c r="I52" s="53">
        <f>+Inputs!I52</f>
        <v>304</v>
      </c>
      <c r="J52" s="53">
        <f>+Inputs!J52</f>
        <v>0</v>
      </c>
      <c r="K52" s="53">
        <f>+Inputs!M52</f>
        <v>50</v>
      </c>
      <c r="L52" s="53">
        <f t="shared" si="5"/>
        <v>21612645.792895019</v>
      </c>
      <c r="M52" s="37">
        <f t="shared" si="0"/>
        <v>1252358.7228950188</v>
      </c>
      <c r="N52" s="45">
        <f t="shared" si="1"/>
        <v>6.1509875503686536E-2</v>
      </c>
      <c r="O52" s="12">
        <f t="shared" si="2"/>
        <v>6.1509875503686536E-2</v>
      </c>
      <c r="P52"/>
      <c r="Q52" t="s">
        <v>144</v>
      </c>
      <c r="R52" s="113">
        <v>-2294129.6123667345</v>
      </c>
      <c r="S52" s="113">
        <v>430609.75981974351</v>
      </c>
      <c r="T52" s="113">
        <v>-5.3276303196821981</v>
      </c>
      <c r="U52" s="113">
        <v>5.200446127897796E-7</v>
      </c>
      <c r="V52" s="113">
        <v>-3147327.6536842287</v>
      </c>
      <c r="W52" s="113">
        <v>-1440931.5710492404</v>
      </c>
      <c r="X52" s="113">
        <v>-3147327.6536842287</v>
      </c>
      <c r="Y52" s="113">
        <v>-1440931.5710492404</v>
      </c>
    </row>
    <row r="53" spans="1:25" ht="13.5" thickBot="1" x14ac:dyDescent="0.25">
      <c r="A53" s="3" t="str">
        <f t="shared" si="3"/>
        <v>20173</v>
      </c>
      <c r="B53" s="49">
        <f t="shared" si="4"/>
        <v>2017</v>
      </c>
      <c r="C53" s="52">
        <v>42825</v>
      </c>
      <c r="D53" s="53">
        <f>+Inputs!D53</f>
        <v>22567613.300000001</v>
      </c>
      <c r="E53" s="201">
        <v>547.82999999999993</v>
      </c>
      <c r="F53" s="201">
        <v>0</v>
      </c>
      <c r="G53" s="53">
        <f>+Inputs!G53</f>
        <v>31</v>
      </c>
      <c r="H53" s="105">
        <f t="shared" si="6"/>
        <v>0.33333333333333331</v>
      </c>
      <c r="I53" s="53">
        <f>+Inputs!I53</f>
        <v>368</v>
      </c>
      <c r="J53" s="53">
        <f>+Inputs!J53</f>
        <v>0</v>
      </c>
      <c r="K53" s="53">
        <f>+Inputs!M53</f>
        <v>51</v>
      </c>
      <c r="L53" s="53">
        <f t="shared" si="5"/>
        <v>22943306.132006191</v>
      </c>
      <c r="M53" s="37">
        <f t="shared" si="0"/>
        <v>375692.83200618997</v>
      </c>
      <c r="N53" s="45">
        <f t="shared" si="1"/>
        <v>1.6647433071985063E-2</v>
      </c>
      <c r="O53" s="12">
        <f t="shared" si="2"/>
        <v>1.6647433071985063E-2</v>
      </c>
      <c r="P53"/>
      <c r="Q53" s="90" t="s">
        <v>70</v>
      </c>
      <c r="R53" s="114">
        <v>13922.408318102209</v>
      </c>
      <c r="S53" s="114">
        <v>1130.3424725072434</v>
      </c>
      <c r="T53" s="114">
        <v>12.316982380765129</v>
      </c>
      <c r="U53" s="114">
        <v>1.4687536347506538E-22</v>
      </c>
      <c r="V53" s="114">
        <v>11682.779601918764</v>
      </c>
      <c r="W53" s="114">
        <v>16162.037034285653</v>
      </c>
      <c r="X53" s="114">
        <v>11682.779601918764</v>
      </c>
      <c r="Y53" s="114">
        <v>16162.037034285653</v>
      </c>
    </row>
    <row r="54" spans="1:25" x14ac:dyDescent="0.2">
      <c r="A54" s="3" t="str">
        <f t="shared" si="3"/>
        <v>20174</v>
      </c>
      <c r="B54" s="49">
        <f t="shared" si="4"/>
        <v>2017</v>
      </c>
      <c r="C54" s="52">
        <v>42855</v>
      </c>
      <c r="D54" s="53">
        <f>+Inputs!D54</f>
        <v>19386237.350000001</v>
      </c>
      <c r="E54" s="201">
        <v>338.72500000000002</v>
      </c>
      <c r="F54" s="201">
        <v>0.71000000000000008</v>
      </c>
      <c r="G54" s="53">
        <f>+Inputs!G54</f>
        <v>30</v>
      </c>
      <c r="H54" s="105">
        <f t="shared" si="6"/>
        <v>1</v>
      </c>
      <c r="I54" s="53">
        <f>+Inputs!I54</f>
        <v>304</v>
      </c>
      <c r="J54" s="53">
        <f>+Inputs!J54</f>
        <v>0</v>
      </c>
      <c r="K54" s="53">
        <f>+Inputs!M54</f>
        <v>52</v>
      </c>
      <c r="L54" s="53">
        <f t="shared" si="5"/>
        <v>20279766.904882412</v>
      </c>
      <c r="M54" s="37">
        <f t="shared" si="0"/>
        <v>893529.55488241091</v>
      </c>
      <c r="N54" s="45">
        <f t="shared" si="1"/>
        <v>4.6090922067577533E-2</v>
      </c>
      <c r="O54" s="12">
        <f t="shared" si="2"/>
        <v>4.6090922067577533E-2</v>
      </c>
      <c r="P54"/>
    </row>
    <row r="55" spans="1:25" x14ac:dyDescent="0.2">
      <c r="A55" s="3" t="str">
        <f t="shared" si="3"/>
        <v>20175</v>
      </c>
      <c r="B55" s="49">
        <f t="shared" si="4"/>
        <v>2017</v>
      </c>
      <c r="C55" s="52">
        <v>42886</v>
      </c>
      <c r="D55" s="53">
        <f>+Inputs!D55</f>
        <v>19855233.969999999</v>
      </c>
      <c r="E55" s="201">
        <v>144.06</v>
      </c>
      <c r="F55" s="201">
        <v>23.914999999999999</v>
      </c>
      <c r="G55" s="53">
        <f>+Inputs!G55</f>
        <v>31</v>
      </c>
      <c r="H55" s="105">
        <f t="shared" si="6"/>
        <v>1</v>
      </c>
      <c r="I55" s="53">
        <f>+Inputs!I55</f>
        <v>352</v>
      </c>
      <c r="J55" s="53">
        <f>+Inputs!J55</f>
        <v>0</v>
      </c>
      <c r="K55" s="53">
        <f>+Inputs!M55</f>
        <v>53</v>
      </c>
      <c r="L55" s="53">
        <f t="shared" si="5"/>
        <v>20683174.333464745</v>
      </c>
      <c r="M55" s="37">
        <f t="shared" si="0"/>
        <v>827940.36346474662</v>
      </c>
      <c r="N55" s="45">
        <f t="shared" si="1"/>
        <v>4.1698847000025893E-2</v>
      </c>
      <c r="O55" s="12">
        <f t="shared" si="2"/>
        <v>4.1698847000025893E-2</v>
      </c>
      <c r="P55"/>
    </row>
    <row r="56" spans="1:25" x14ac:dyDescent="0.2">
      <c r="A56" s="3" t="str">
        <f t="shared" si="3"/>
        <v>20176</v>
      </c>
      <c r="B56" s="49">
        <f t="shared" si="4"/>
        <v>2017</v>
      </c>
      <c r="C56" s="52">
        <v>42916</v>
      </c>
      <c r="D56" s="53">
        <f>+Inputs!D56</f>
        <v>20499489.770000003</v>
      </c>
      <c r="E56" s="201">
        <v>21.37</v>
      </c>
      <c r="F56" s="201">
        <v>69.710000000000008</v>
      </c>
      <c r="G56" s="53">
        <f>+Inputs!G56</f>
        <v>30</v>
      </c>
      <c r="H56" s="105">
        <f t="shared" si="6"/>
        <v>0.66666666666666663</v>
      </c>
      <c r="I56" s="53">
        <f>+Inputs!I56</f>
        <v>352</v>
      </c>
      <c r="J56" s="53">
        <f>+Inputs!J56</f>
        <v>0</v>
      </c>
      <c r="K56" s="53">
        <f>+Inputs!M56</f>
        <v>54</v>
      </c>
      <c r="L56" s="53">
        <f t="shared" si="5"/>
        <v>20859540.783771381</v>
      </c>
      <c r="M56" s="37">
        <f t="shared" si="0"/>
        <v>360051.0137713775</v>
      </c>
      <c r="N56" s="45">
        <f t="shared" si="1"/>
        <v>1.7563901239058859E-2</v>
      </c>
      <c r="O56" s="12">
        <f t="shared" si="2"/>
        <v>1.7563901239058859E-2</v>
      </c>
      <c r="P56"/>
    </row>
    <row r="57" spans="1:25" x14ac:dyDescent="0.2">
      <c r="A57" s="3" t="str">
        <f t="shared" si="3"/>
        <v>20177</v>
      </c>
      <c r="B57" s="49">
        <f t="shared" si="4"/>
        <v>2017</v>
      </c>
      <c r="C57" s="52">
        <v>42947</v>
      </c>
      <c r="D57" s="53">
        <f>+Inputs!D57</f>
        <v>21882661.009999998</v>
      </c>
      <c r="E57" s="201">
        <v>1.24</v>
      </c>
      <c r="F57" s="201">
        <v>140.78500000000003</v>
      </c>
      <c r="G57" s="53">
        <f>+Inputs!G57</f>
        <v>31</v>
      </c>
      <c r="H57" s="105">
        <f t="shared" si="6"/>
        <v>0</v>
      </c>
      <c r="I57" s="53">
        <f>+Inputs!I57</f>
        <v>320</v>
      </c>
      <c r="J57" s="53">
        <f>+Inputs!J57</f>
        <v>0</v>
      </c>
      <c r="K57" s="53">
        <f>+Inputs!M57</f>
        <v>55</v>
      </c>
      <c r="L57" s="53">
        <f t="shared" si="5"/>
        <v>22911969.661343325</v>
      </c>
      <c r="M57" s="37">
        <f t="shared" si="0"/>
        <v>1029308.651343327</v>
      </c>
      <c r="N57" s="45">
        <f t="shared" si="1"/>
        <v>4.703763636757663E-2</v>
      </c>
      <c r="O57" s="12">
        <f t="shared" si="2"/>
        <v>4.703763636757663E-2</v>
      </c>
      <c r="P57"/>
    </row>
    <row r="58" spans="1:25" x14ac:dyDescent="0.2">
      <c r="A58" s="3" t="str">
        <f t="shared" si="3"/>
        <v>20178</v>
      </c>
      <c r="B58" s="49">
        <f t="shared" si="4"/>
        <v>2017</v>
      </c>
      <c r="C58" s="52">
        <v>42978</v>
      </c>
      <c r="D58" s="53">
        <f>+Inputs!D58</f>
        <v>21310062.84</v>
      </c>
      <c r="E58" s="201">
        <v>3.5549999999999997</v>
      </c>
      <c r="F58" s="201">
        <v>122.37</v>
      </c>
      <c r="G58" s="53">
        <f>+Inputs!G58</f>
        <v>31</v>
      </c>
      <c r="H58" s="105">
        <f t="shared" si="6"/>
        <v>0</v>
      </c>
      <c r="I58" s="53">
        <f>+Inputs!I58</f>
        <v>368</v>
      </c>
      <c r="J58" s="53">
        <f>+Inputs!J58</f>
        <v>0</v>
      </c>
      <c r="K58" s="53">
        <f>+Inputs!M58</f>
        <v>56</v>
      </c>
      <c r="L58" s="53">
        <f t="shared" si="5"/>
        <v>23022300.195388589</v>
      </c>
      <c r="M58" s="37">
        <f t="shared" si="0"/>
        <v>1712237.3553885892</v>
      </c>
      <c r="N58" s="45">
        <f t="shared" si="1"/>
        <v>8.0348770824581445E-2</v>
      </c>
      <c r="O58" s="12">
        <f t="shared" si="2"/>
        <v>8.0348770824581445E-2</v>
      </c>
      <c r="P58"/>
    </row>
    <row r="59" spans="1:25" x14ac:dyDescent="0.2">
      <c r="A59" s="3" t="str">
        <f t="shared" si="3"/>
        <v>20179</v>
      </c>
      <c r="B59" s="49">
        <f t="shared" si="4"/>
        <v>2017</v>
      </c>
      <c r="C59" s="52">
        <v>43008</v>
      </c>
      <c r="D59" s="53">
        <f>+Inputs!D59</f>
        <v>20719473.609999999</v>
      </c>
      <c r="E59" s="201">
        <v>44.225000000000009</v>
      </c>
      <c r="F59" s="201">
        <v>50.904999999999987</v>
      </c>
      <c r="G59" s="53">
        <f>+Inputs!G59</f>
        <v>30</v>
      </c>
      <c r="H59" s="105">
        <f t="shared" si="6"/>
        <v>0.33333333333333331</v>
      </c>
      <c r="I59" s="53">
        <f>+Inputs!I59</f>
        <v>320</v>
      </c>
      <c r="J59" s="53">
        <f>+Inputs!J59</f>
        <v>0</v>
      </c>
      <c r="K59" s="53">
        <f>+Inputs!M59</f>
        <v>57</v>
      </c>
      <c r="L59" s="53">
        <f t="shared" si="5"/>
        <v>20398913.611416642</v>
      </c>
      <c r="M59" s="37">
        <f t="shared" si="0"/>
        <v>-320559.99858335778</v>
      </c>
      <c r="N59" s="45">
        <f t="shared" si="1"/>
        <v>-1.5471435453294694E-2</v>
      </c>
      <c r="O59" s="12">
        <f t="shared" si="2"/>
        <v>1.5471435453294694E-2</v>
      </c>
      <c r="P59"/>
    </row>
    <row r="60" spans="1:25" x14ac:dyDescent="0.2">
      <c r="A60" s="3" t="str">
        <f t="shared" si="3"/>
        <v>201710</v>
      </c>
      <c r="B60" s="49">
        <f t="shared" si="4"/>
        <v>2017</v>
      </c>
      <c r="C60" s="52">
        <v>43039</v>
      </c>
      <c r="D60" s="53">
        <f>+Inputs!D60</f>
        <v>20243543.530000001</v>
      </c>
      <c r="E60" s="201">
        <v>222.22000000000003</v>
      </c>
      <c r="F60" s="201">
        <v>3.3</v>
      </c>
      <c r="G60" s="53">
        <f>+Inputs!G60</f>
        <v>31</v>
      </c>
      <c r="H60" s="105">
        <f t="shared" si="6"/>
        <v>1</v>
      </c>
      <c r="I60" s="53">
        <f>+Inputs!I60</f>
        <v>336</v>
      </c>
      <c r="J60" s="53">
        <f>+Inputs!J60</f>
        <v>0</v>
      </c>
      <c r="K60" s="53">
        <f>+Inputs!M60</f>
        <v>58</v>
      </c>
      <c r="L60" s="53">
        <f t="shared" si="5"/>
        <v>20531892.020944148</v>
      </c>
      <c r="M60" s="37">
        <f t="shared" si="0"/>
        <v>288348.49094414711</v>
      </c>
      <c r="N60" s="45">
        <f t="shared" si="1"/>
        <v>1.4243973171832684E-2</v>
      </c>
      <c r="O60" s="12">
        <f t="shared" si="2"/>
        <v>1.4243973171832684E-2</v>
      </c>
      <c r="P60"/>
    </row>
    <row r="61" spans="1:25" x14ac:dyDescent="0.2">
      <c r="A61" s="3" t="str">
        <f t="shared" si="3"/>
        <v>201711</v>
      </c>
      <c r="B61" s="49">
        <f t="shared" si="4"/>
        <v>2017</v>
      </c>
      <c r="C61" s="52">
        <v>43069</v>
      </c>
      <c r="D61" s="53">
        <f>+Inputs!D61</f>
        <v>21468651.379999999</v>
      </c>
      <c r="E61" s="201">
        <v>420.84500000000008</v>
      </c>
      <c r="F61" s="201">
        <v>0.09</v>
      </c>
      <c r="G61" s="53">
        <f>+Inputs!G61</f>
        <v>30</v>
      </c>
      <c r="H61" s="105">
        <f t="shared" si="6"/>
        <v>1</v>
      </c>
      <c r="I61" s="53">
        <f>+Inputs!I61</f>
        <v>352</v>
      </c>
      <c r="J61" s="53">
        <f>+Inputs!J61</f>
        <v>0</v>
      </c>
      <c r="K61" s="53">
        <f>+Inputs!M61</f>
        <v>59</v>
      </c>
      <c r="L61" s="53">
        <f t="shared" si="5"/>
        <v>21379767.838675961</v>
      </c>
      <c r="M61" s="37">
        <f t="shared" si="0"/>
        <v>-88883.541324038059</v>
      </c>
      <c r="N61" s="45">
        <f t="shared" si="1"/>
        <v>-4.1401548588581192E-3</v>
      </c>
      <c r="O61" s="12">
        <f t="shared" si="2"/>
        <v>4.1401548588581192E-3</v>
      </c>
      <c r="P61"/>
    </row>
    <row r="62" spans="1:25" x14ac:dyDescent="0.2">
      <c r="A62" s="3" t="str">
        <f t="shared" si="3"/>
        <v>201712</v>
      </c>
      <c r="B62" s="49">
        <f t="shared" si="4"/>
        <v>2017</v>
      </c>
      <c r="C62" s="52">
        <v>43100</v>
      </c>
      <c r="D62" s="53">
        <f>+Inputs!D62</f>
        <v>22467268.620000001</v>
      </c>
      <c r="E62" s="201">
        <v>579.06000000000006</v>
      </c>
      <c r="F62" s="201">
        <v>0</v>
      </c>
      <c r="G62" s="53">
        <f>+Inputs!G62</f>
        <v>31</v>
      </c>
      <c r="H62" s="105">
        <f t="shared" si="6"/>
        <v>0.66666666666666663</v>
      </c>
      <c r="I62" s="53">
        <f>+Inputs!I62</f>
        <v>304</v>
      </c>
      <c r="J62" s="53">
        <f>+Inputs!J62</f>
        <v>0</v>
      </c>
      <c r="K62" s="53">
        <f>+Inputs!M62</f>
        <v>60</v>
      </c>
      <c r="L62" s="53">
        <f t="shared" si="5"/>
        <v>22376396.447287582</v>
      </c>
      <c r="M62" s="37">
        <f t="shared" si="0"/>
        <v>-90872.172712419182</v>
      </c>
      <c r="N62" s="45">
        <f t="shared" si="1"/>
        <v>-4.0446470930394374E-3</v>
      </c>
      <c r="O62" s="12">
        <f t="shared" si="2"/>
        <v>4.0446470930394374E-3</v>
      </c>
      <c r="P62"/>
    </row>
    <row r="63" spans="1:25" x14ac:dyDescent="0.2">
      <c r="A63" s="3" t="str">
        <f t="shared" si="3"/>
        <v>20181</v>
      </c>
      <c r="B63" s="49">
        <f t="shared" si="4"/>
        <v>2018</v>
      </c>
      <c r="C63" s="52">
        <v>43131</v>
      </c>
      <c r="D63" s="53">
        <f>+Inputs!D63</f>
        <v>24028241.710000001</v>
      </c>
      <c r="E63" s="201">
        <v>703.65</v>
      </c>
      <c r="F63" s="201">
        <v>0</v>
      </c>
      <c r="G63" s="53">
        <f>+Inputs!G63</f>
        <v>31</v>
      </c>
      <c r="H63" s="105">
        <f t="shared" si="6"/>
        <v>0</v>
      </c>
      <c r="I63" s="53">
        <f>+Inputs!I63</f>
        <v>352</v>
      </c>
      <c r="J63" s="53">
        <f>+Inputs!J63</f>
        <v>0</v>
      </c>
      <c r="K63" s="53">
        <f>+Inputs!M63</f>
        <v>61</v>
      </c>
      <c r="L63" s="53">
        <f t="shared" si="5"/>
        <v>23998460.291677162</v>
      </c>
      <c r="M63" s="37">
        <f t="shared" si="0"/>
        <v>-29781.418322838843</v>
      </c>
      <c r="N63" s="45">
        <f t="shared" si="1"/>
        <v>-1.2394339412044662E-3</v>
      </c>
      <c r="O63" s="12">
        <f t="shared" si="2"/>
        <v>1.2394339412044662E-3</v>
      </c>
      <c r="P63"/>
    </row>
    <row r="64" spans="1:25" x14ac:dyDescent="0.2">
      <c r="A64" s="3" t="str">
        <f t="shared" si="3"/>
        <v>20182</v>
      </c>
      <c r="B64" s="49">
        <f t="shared" si="4"/>
        <v>2018</v>
      </c>
      <c r="C64" s="52">
        <v>43159</v>
      </c>
      <c r="D64" s="53">
        <f>+Inputs!D64</f>
        <v>20985005.432913534</v>
      </c>
      <c r="E64" s="201">
        <v>630.40499999999997</v>
      </c>
      <c r="F64" s="201">
        <v>0</v>
      </c>
      <c r="G64" s="53">
        <f>+Inputs!G64</f>
        <v>28</v>
      </c>
      <c r="H64" s="105">
        <f t="shared" si="6"/>
        <v>0</v>
      </c>
      <c r="I64" s="53">
        <f>+Inputs!I64</f>
        <v>304</v>
      </c>
      <c r="J64" s="53">
        <f>+Inputs!J64</f>
        <v>0</v>
      </c>
      <c r="K64" s="53">
        <f>+Inputs!M64</f>
        <v>62</v>
      </c>
      <c r="L64" s="53">
        <f t="shared" si="5"/>
        <v>21794259.229134731</v>
      </c>
      <c r="M64" s="37">
        <f t="shared" si="0"/>
        <v>809253.79622119665</v>
      </c>
      <c r="N64" s="45">
        <f t="shared" si="1"/>
        <v>3.8563430388821242E-2</v>
      </c>
      <c r="O64" s="12">
        <f t="shared" si="2"/>
        <v>3.8563430388821242E-2</v>
      </c>
      <c r="P64"/>
    </row>
    <row r="65" spans="1:16" x14ac:dyDescent="0.2">
      <c r="A65" s="3" t="str">
        <f t="shared" si="3"/>
        <v>20183</v>
      </c>
      <c r="B65" s="49">
        <f t="shared" si="4"/>
        <v>2018</v>
      </c>
      <c r="C65" s="52">
        <v>43190</v>
      </c>
      <c r="D65" s="53">
        <f>+Inputs!D65</f>
        <v>22598880.590000004</v>
      </c>
      <c r="E65" s="201">
        <v>547.82999999999993</v>
      </c>
      <c r="F65" s="201">
        <v>0</v>
      </c>
      <c r="G65" s="53">
        <f>+Inputs!G65</f>
        <v>31</v>
      </c>
      <c r="H65" s="105">
        <f t="shared" si="6"/>
        <v>0.33333333333333331</v>
      </c>
      <c r="I65" s="53">
        <f>+Inputs!I65</f>
        <v>336</v>
      </c>
      <c r="J65" s="53">
        <f>+Inputs!J65</f>
        <v>0</v>
      </c>
      <c r="K65" s="53">
        <f>+Inputs!M65</f>
        <v>63</v>
      </c>
      <c r="L65" s="53">
        <f t="shared" si="5"/>
        <v>22770315.594517168</v>
      </c>
      <c r="M65" s="37">
        <f t="shared" si="0"/>
        <v>171435.00451716408</v>
      </c>
      <c r="N65" s="45">
        <f t="shared" si="1"/>
        <v>7.5859954139951523E-3</v>
      </c>
      <c r="O65" s="12">
        <f t="shared" si="2"/>
        <v>7.5859954139951523E-3</v>
      </c>
    </row>
    <row r="66" spans="1:16" x14ac:dyDescent="0.2">
      <c r="A66" s="3" t="str">
        <f t="shared" si="3"/>
        <v>20184</v>
      </c>
      <c r="B66" s="49">
        <f t="shared" si="4"/>
        <v>2018</v>
      </c>
      <c r="C66" s="52">
        <v>43220</v>
      </c>
      <c r="D66" s="53">
        <f>+Inputs!D66</f>
        <v>21216588.68</v>
      </c>
      <c r="E66" s="201">
        <v>338.72500000000002</v>
      </c>
      <c r="F66" s="201">
        <v>0.71000000000000008</v>
      </c>
      <c r="G66" s="53">
        <f>+Inputs!G66</f>
        <v>30</v>
      </c>
      <c r="H66" s="105">
        <f t="shared" si="6"/>
        <v>1</v>
      </c>
      <c r="I66" s="53">
        <f>+Inputs!I66</f>
        <v>336</v>
      </c>
      <c r="J66" s="53">
        <f>+Inputs!J66</f>
        <v>0</v>
      </c>
      <c r="K66" s="53">
        <f>+Inputs!M66</f>
        <v>64</v>
      </c>
      <c r="L66" s="53">
        <f t="shared" si="5"/>
        <v>20815984.314850856</v>
      </c>
      <c r="M66" s="37">
        <f t="shared" si="0"/>
        <v>-400604.36514914408</v>
      </c>
      <c r="N66" s="45">
        <f t="shared" si="1"/>
        <v>-1.8881657706206902E-2</v>
      </c>
      <c r="O66" s="12">
        <f t="shared" si="2"/>
        <v>1.8881657706206902E-2</v>
      </c>
    </row>
    <row r="67" spans="1:16" x14ac:dyDescent="0.2">
      <c r="A67" s="3" t="str">
        <f t="shared" si="3"/>
        <v>20185</v>
      </c>
      <c r="B67" s="49">
        <f t="shared" si="4"/>
        <v>2018</v>
      </c>
      <c r="C67" s="52">
        <v>43251</v>
      </c>
      <c r="D67" s="53">
        <f>+Inputs!D67</f>
        <v>21095556.57</v>
      </c>
      <c r="E67" s="201">
        <v>144.06</v>
      </c>
      <c r="F67" s="201">
        <v>23.914999999999999</v>
      </c>
      <c r="G67" s="53">
        <f>+Inputs!G67</f>
        <v>31</v>
      </c>
      <c r="H67" s="105">
        <f t="shared" si="6"/>
        <v>1</v>
      </c>
      <c r="I67" s="53">
        <f>+Inputs!I67</f>
        <v>352</v>
      </c>
      <c r="J67" s="53">
        <f>+Inputs!J67</f>
        <v>0</v>
      </c>
      <c r="K67" s="53">
        <f>+Inputs!M67</f>
        <v>65</v>
      </c>
      <c r="L67" s="53">
        <f t="shared" si="5"/>
        <v>20864787.769704457</v>
      </c>
      <c r="M67" s="37">
        <f t="shared" ref="M67:M122" si="7">L67-D67</f>
        <v>-230768.80029554293</v>
      </c>
      <c r="N67" s="45">
        <f t="shared" ref="N67:N122" si="8">M67/D67</f>
        <v>-1.0939213645764594E-2</v>
      </c>
      <c r="O67" s="12">
        <f t="shared" ref="O67:O122" si="9">ABS(N67)</f>
        <v>1.0939213645764594E-2</v>
      </c>
    </row>
    <row r="68" spans="1:16" x14ac:dyDescent="0.2">
      <c r="A68" s="3" t="str">
        <f t="shared" ref="A68:A131" si="10">YEAR(C68)&amp;MONTH(C68)</f>
        <v>20186</v>
      </c>
      <c r="B68" s="49">
        <f t="shared" ref="B68:B131" si="11">YEAR(C68)</f>
        <v>2018</v>
      </c>
      <c r="C68" s="52">
        <v>43281</v>
      </c>
      <c r="D68" s="53">
        <f>+Inputs!D68</f>
        <v>21446304.349999998</v>
      </c>
      <c r="E68" s="201">
        <v>21.37</v>
      </c>
      <c r="F68" s="201">
        <v>69.710000000000008</v>
      </c>
      <c r="G68" s="53">
        <f>+Inputs!G68</f>
        <v>30</v>
      </c>
      <c r="H68" s="105">
        <f t="shared" si="6"/>
        <v>0.66666666666666663</v>
      </c>
      <c r="I68" s="53">
        <f>+Inputs!I68</f>
        <v>336</v>
      </c>
      <c r="J68" s="53">
        <f>+Inputs!J68</f>
        <v>0</v>
      </c>
      <c r="K68" s="53">
        <f>+Inputs!M68</f>
        <v>66</v>
      </c>
      <c r="L68" s="53">
        <f t="shared" ref="L68:L131" si="12">$R$18+$R$19*E68+$R$20*F68+$R$21*G68+$R$22*H68+$R$23*I68+J68*$R$24+K68*$R$25</f>
        <v>20863852.233146723</v>
      </c>
      <c r="M68" s="37">
        <f t="shared" si="7"/>
        <v>-582452.11685327441</v>
      </c>
      <c r="N68" s="45">
        <f t="shared" si="8"/>
        <v>-2.7158624038331084E-2</v>
      </c>
      <c r="O68" s="12">
        <f t="shared" si="9"/>
        <v>2.7158624038331084E-2</v>
      </c>
    </row>
    <row r="69" spans="1:16" x14ac:dyDescent="0.2">
      <c r="A69" s="3" t="str">
        <f t="shared" si="10"/>
        <v>20187</v>
      </c>
      <c r="B69" s="49">
        <f t="shared" si="11"/>
        <v>2018</v>
      </c>
      <c r="C69" s="52">
        <v>43312</v>
      </c>
      <c r="D69" s="53">
        <f>+Inputs!D69</f>
        <v>23894162.989999998</v>
      </c>
      <c r="E69" s="201">
        <v>1.24</v>
      </c>
      <c r="F69" s="201">
        <v>140.78500000000003</v>
      </c>
      <c r="G69" s="53">
        <f>+Inputs!G69</f>
        <v>31</v>
      </c>
      <c r="H69" s="105">
        <f t="shared" si="6"/>
        <v>0</v>
      </c>
      <c r="I69" s="53">
        <f>+Inputs!I69</f>
        <v>336</v>
      </c>
      <c r="J69" s="53">
        <f>+Inputs!J69</f>
        <v>0</v>
      </c>
      <c r="K69" s="53">
        <f>+Inputs!M69</f>
        <v>67</v>
      </c>
      <c r="L69" s="53">
        <f t="shared" si="12"/>
        <v>23270885.084447406</v>
      </c>
      <c r="M69" s="37">
        <f t="shared" si="7"/>
        <v>-623277.90555259213</v>
      </c>
      <c r="N69" s="45">
        <f t="shared" si="8"/>
        <v>-2.6084944085023678E-2</v>
      </c>
      <c r="O69" s="12">
        <f t="shared" si="9"/>
        <v>2.6084944085023678E-2</v>
      </c>
    </row>
    <row r="70" spans="1:16" x14ac:dyDescent="0.2">
      <c r="A70" s="3" t="str">
        <f t="shared" si="10"/>
        <v>20188</v>
      </c>
      <c r="B70" s="49">
        <f t="shared" si="11"/>
        <v>2018</v>
      </c>
      <c r="C70" s="52">
        <v>43343</v>
      </c>
      <c r="D70" s="53">
        <f>+Inputs!D70</f>
        <v>23956344.050000001</v>
      </c>
      <c r="E70" s="201">
        <v>3.5549999999999997</v>
      </c>
      <c r="F70" s="201">
        <v>122.37</v>
      </c>
      <c r="G70" s="53">
        <f>+Inputs!G70</f>
        <v>31</v>
      </c>
      <c r="H70" s="105">
        <f t="shared" si="6"/>
        <v>0</v>
      </c>
      <c r="I70" s="53">
        <f>+Inputs!I70</f>
        <v>368</v>
      </c>
      <c r="J70" s="53">
        <f>+Inputs!J70</f>
        <v>0</v>
      </c>
      <c r="K70" s="53">
        <f>+Inputs!M70</f>
        <v>68</v>
      </c>
      <c r="L70" s="53">
        <f t="shared" si="12"/>
        <v>23203913.631628301</v>
      </c>
      <c r="M70" s="37">
        <f t="shared" si="7"/>
        <v>-752430.41837169975</v>
      </c>
      <c r="N70" s="45">
        <f t="shared" si="8"/>
        <v>-3.1408399244946546E-2</v>
      </c>
      <c r="O70" s="12">
        <f t="shared" si="9"/>
        <v>3.1408399244946546E-2</v>
      </c>
    </row>
    <row r="71" spans="1:16" x14ac:dyDescent="0.2">
      <c r="A71" s="3" t="str">
        <f t="shared" si="10"/>
        <v>20189</v>
      </c>
      <c r="B71" s="49">
        <f t="shared" si="11"/>
        <v>2018</v>
      </c>
      <c r="C71" s="52">
        <v>43373</v>
      </c>
      <c r="D71" s="53">
        <f>+Inputs!D71</f>
        <v>21668452.539136905</v>
      </c>
      <c r="E71" s="201">
        <v>44.225000000000009</v>
      </c>
      <c r="F71" s="201">
        <v>50.904999999999987</v>
      </c>
      <c r="G71" s="53">
        <f>+Inputs!G71</f>
        <v>30</v>
      </c>
      <c r="H71" s="105">
        <f t="shared" si="6"/>
        <v>0.33333333333333331</v>
      </c>
      <c r="I71" s="53">
        <f>+Inputs!I71</f>
        <v>304</v>
      </c>
      <c r="J71" s="53">
        <f>+Inputs!J71</f>
        <v>0</v>
      </c>
      <c r="K71" s="53">
        <f>+Inputs!M71</f>
        <v>69</v>
      </c>
      <c r="L71" s="53">
        <f t="shared" si="12"/>
        <v>20403225.060791988</v>
      </c>
      <c r="M71" s="37">
        <f t="shared" si="7"/>
        <v>-1265227.4783449173</v>
      </c>
      <c r="N71" s="45">
        <f t="shared" si="8"/>
        <v>-5.8390301571360555E-2</v>
      </c>
      <c r="O71" s="12">
        <f t="shared" si="9"/>
        <v>5.8390301571360555E-2</v>
      </c>
    </row>
    <row r="72" spans="1:16" x14ac:dyDescent="0.2">
      <c r="A72" s="3" t="str">
        <f t="shared" si="10"/>
        <v>201810</v>
      </c>
      <c r="B72" s="49">
        <f t="shared" si="11"/>
        <v>2018</v>
      </c>
      <c r="C72" s="52">
        <v>43404</v>
      </c>
      <c r="D72" s="53">
        <f>+Inputs!D72</f>
        <v>21228062.899999999</v>
      </c>
      <c r="E72" s="201">
        <v>222.22000000000003</v>
      </c>
      <c r="F72" s="201">
        <v>3.3</v>
      </c>
      <c r="G72" s="53">
        <f>+Inputs!G72</f>
        <v>31</v>
      </c>
      <c r="H72" s="105">
        <f t="shared" si="6"/>
        <v>1</v>
      </c>
      <c r="I72" s="53">
        <f>+Inputs!I72</f>
        <v>352</v>
      </c>
      <c r="J72" s="53">
        <f>+Inputs!J72</f>
        <v>0</v>
      </c>
      <c r="K72" s="53">
        <f>+Inputs!M72</f>
        <v>70</v>
      </c>
      <c r="L72" s="53">
        <f t="shared" si="12"/>
        <v>20890807.44404823</v>
      </c>
      <c r="M72" s="37">
        <f t="shared" si="7"/>
        <v>-337255.4559517689</v>
      </c>
      <c r="N72" s="45">
        <f t="shared" si="8"/>
        <v>-1.5887245931976626E-2</v>
      </c>
      <c r="O72" s="12">
        <f t="shared" si="9"/>
        <v>1.5887245931976626E-2</v>
      </c>
    </row>
    <row r="73" spans="1:16" x14ac:dyDescent="0.2">
      <c r="A73" s="3" t="str">
        <f t="shared" si="10"/>
        <v>201811</v>
      </c>
      <c r="B73" s="49">
        <f t="shared" si="11"/>
        <v>2018</v>
      </c>
      <c r="C73" s="52">
        <v>43434</v>
      </c>
      <c r="D73" s="53">
        <f>+Inputs!D73</f>
        <v>22168373.890000001</v>
      </c>
      <c r="E73" s="201">
        <v>420.84500000000008</v>
      </c>
      <c r="F73" s="201">
        <v>0.09</v>
      </c>
      <c r="G73" s="53">
        <f>+Inputs!G73</f>
        <v>30</v>
      </c>
      <c r="H73" s="105">
        <f t="shared" si="6"/>
        <v>1</v>
      </c>
      <c r="I73" s="53">
        <f>+Inputs!I73</f>
        <v>352</v>
      </c>
      <c r="J73" s="53">
        <f>+Inputs!J73</f>
        <v>0</v>
      </c>
      <c r="K73" s="53">
        <f>+Inputs!M73</f>
        <v>71</v>
      </c>
      <c r="L73" s="53">
        <f t="shared" si="12"/>
        <v>21561381.274915673</v>
      </c>
      <c r="M73" s="37">
        <f t="shared" si="7"/>
        <v>-606992.61508432776</v>
      </c>
      <c r="N73" s="45">
        <f t="shared" si="8"/>
        <v>-2.7381016672501084E-2</v>
      </c>
      <c r="O73" s="12">
        <f t="shared" si="9"/>
        <v>2.7381016672501084E-2</v>
      </c>
    </row>
    <row r="74" spans="1:16" x14ac:dyDescent="0.2">
      <c r="A74" s="3" t="str">
        <f t="shared" si="10"/>
        <v>201812</v>
      </c>
      <c r="B74" s="49">
        <f t="shared" si="11"/>
        <v>2018</v>
      </c>
      <c r="C74" s="52">
        <v>43465</v>
      </c>
      <c r="D74" s="53">
        <f>+Inputs!D74</f>
        <v>22187282.27</v>
      </c>
      <c r="E74" s="201">
        <v>579.06000000000006</v>
      </c>
      <c r="F74" s="201">
        <v>0</v>
      </c>
      <c r="G74" s="53">
        <f>+Inputs!G74</f>
        <v>31</v>
      </c>
      <c r="H74" s="105">
        <f t="shared" si="6"/>
        <v>0.66666666666666663</v>
      </c>
      <c r="I74" s="53">
        <f>+Inputs!I74</f>
        <v>304</v>
      </c>
      <c r="J74" s="53">
        <f>+Inputs!J74</f>
        <v>0</v>
      </c>
      <c r="K74" s="53">
        <f>+Inputs!M74</f>
        <v>72</v>
      </c>
      <c r="L74" s="53">
        <f t="shared" si="12"/>
        <v>22558009.883527294</v>
      </c>
      <c r="M74" s="37">
        <f t="shared" si="7"/>
        <v>370727.61352729425</v>
      </c>
      <c r="N74" s="45">
        <f t="shared" si="8"/>
        <v>1.6709014155760964E-2</v>
      </c>
      <c r="O74" s="12">
        <f t="shared" si="9"/>
        <v>1.6709014155760964E-2</v>
      </c>
    </row>
    <row r="75" spans="1:16" x14ac:dyDescent="0.2">
      <c r="A75" s="3" t="str">
        <f t="shared" si="10"/>
        <v>20191</v>
      </c>
      <c r="B75" s="49">
        <f t="shared" si="11"/>
        <v>2019</v>
      </c>
      <c r="C75" s="52">
        <v>43496</v>
      </c>
      <c r="D75" s="53">
        <f>+Inputs!D75</f>
        <v>24587574.760000002</v>
      </c>
      <c r="E75" s="201">
        <v>703.65</v>
      </c>
      <c r="F75" s="201">
        <v>0</v>
      </c>
      <c r="G75" s="53">
        <f>+Inputs!G75</f>
        <v>31</v>
      </c>
      <c r="H75" s="105">
        <f t="shared" si="6"/>
        <v>0</v>
      </c>
      <c r="I75" s="53">
        <f>+Inputs!I75</f>
        <v>352</v>
      </c>
      <c r="J75" s="53">
        <f>+Inputs!J75</f>
        <v>0</v>
      </c>
      <c r="K75" s="53">
        <f>+Inputs!M75</f>
        <v>73</v>
      </c>
      <c r="L75" s="53">
        <f t="shared" si="12"/>
        <v>24180073.727916874</v>
      </c>
      <c r="M75" s="37">
        <f t="shared" si="7"/>
        <v>-407501.03208312765</v>
      </c>
      <c r="N75" s="45">
        <f t="shared" si="8"/>
        <v>-1.6573453708255349E-2</v>
      </c>
      <c r="O75" s="12">
        <f t="shared" si="9"/>
        <v>1.6573453708255349E-2</v>
      </c>
      <c r="P75" s="46"/>
    </row>
    <row r="76" spans="1:16" x14ac:dyDescent="0.2">
      <c r="A76" s="3" t="str">
        <f t="shared" si="10"/>
        <v>20192</v>
      </c>
      <c r="B76" s="49">
        <f t="shared" si="11"/>
        <v>2019</v>
      </c>
      <c r="C76" s="52">
        <v>43524</v>
      </c>
      <c r="D76" s="53">
        <f>+Inputs!D76</f>
        <v>21580871.099999998</v>
      </c>
      <c r="E76" s="201">
        <v>630.40499999999997</v>
      </c>
      <c r="F76" s="201">
        <v>0</v>
      </c>
      <c r="G76" s="53">
        <f>+Inputs!G76</f>
        <v>28</v>
      </c>
      <c r="H76" s="105">
        <f t="shared" si="6"/>
        <v>0</v>
      </c>
      <c r="I76" s="53">
        <f>+Inputs!I76</f>
        <v>304</v>
      </c>
      <c r="J76" s="53">
        <f>+Inputs!J76</f>
        <v>0</v>
      </c>
      <c r="K76" s="53">
        <f>+Inputs!M76</f>
        <v>74</v>
      </c>
      <c r="L76" s="53">
        <f t="shared" si="12"/>
        <v>21975872.665374443</v>
      </c>
      <c r="M76" s="37">
        <f t="shared" si="7"/>
        <v>395001.56537444517</v>
      </c>
      <c r="N76" s="45">
        <f t="shared" si="8"/>
        <v>1.8303318876430583E-2</v>
      </c>
      <c r="O76" s="12">
        <f t="shared" si="9"/>
        <v>1.8303318876430583E-2</v>
      </c>
    </row>
    <row r="77" spans="1:16" x14ac:dyDescent="0.2">
      <c r="A77" s="3" t="str">
        <f t="shared" si="10"/>
        <v>20193</v>
      </c>
      <c r="B77" s="49">
        <f t="shared" si="11"/>
        <v>2019</v>
      </c>
      <c r="C77" s="52">
        <v>43555</v>
      </c>
      <c r="D77" s="53">
        <f>+Inputs!D77</f>
        <v>23246608.300000001</v>
      </c>
      <c r="E77" s="201">
        <v>547.82999999999993</v>
      </c>
      <c r="F77" s="201">
        <v>0</v>
      </c>
      <c r="G77" s="53">
        <f>+Inputs!G77</f>
        <v>31</v>
      </c>
      <c r="H77" s="105">
        <f t="shared" si="6"/>
        <v>0.33333333333333331</v>
      </c>
      <c r="I77" s="53">
        <f>+Inputs!I77</f>
        <v>336</v>
      </c>
      <c r="J77" s="53">
        <f>+Inputs!J77</f>
        <v>0</v>
      </c>
      <c r="K77" s="53">
        <f>+Inputs!M77</f>
        <v>75</v>
      </c>
      <c r="L77" s="53">
        <f t="shared" si="12"/>
        <v>22951929.03075688</v>
      </c>
      <c r="M77" s="37">
        <f t="shared" si="7"/>
        <v>-294679.26924312115</v>
      </c>
      <c r="N77" s="45">
        <f t="shared" si="8"/>
        <v>-1.2676226374198473E-2</v>
      </c>
      <c r="O77" s="12">
        <f t="shared" si="9"/>
        <v>1.2676226374198473E-2</v>
      </c>
    </row>
    <row r="78" spans="1:16" x14ac:dyDescent="0.2">
      <c r="A78" s="3" t="str">
        <f t="shared" si="10"/>
        <v>20194</v>
      </c>
      <c r="B78" s="49">
        <f t="shared" si="11"/>
        <v>2019</v>
      </c>
      <c r="C78" s="52">
        <v>43585</v>
      </c>
      <c r="D78" s="53">
        <f>+Inputs!D78</f>
        <v>20642403.32</v>
      </c>
      <c r="E78" s="201">
        <v>338.72500000000002</v>
      </c>
      <c r="F78" s="201">
        <v>0.71000000000000008</v>
      </c>
      <c r="G78" s="53">
        <f>+Inputs!G78</f>
        <v>30</v>
      </c>
      <c r="H78" s="105">
        <f t="shared" si="6"/>
        <v>1</v>
      </c>
      <c r="I78" s="53">
        <f>+Inputs!I78</f>
        <v>336</v>
      </c>
      <c r="J78" s="53">
        <f>+Inputs!J78</f>
        <v>0</v>
      </c>
      <c r="K78" s="53">
        <f>+Inputs!M78</f>
        <v>76</v>
      </c>
      <c r="L78" s="53">
        <f t="shared" si="12"/>
        <v>20997597.751090568</v>
      </c>
      <c r="M78" s="37">
        <f t="shared" si="7"/>
        <v>355194.43109056726</v>
      </c>
      <c r="N78" s="45">
        <f t="shared" si="8"/>
        <v>1.720702892896326E-2</v>
      </c>
      <c r="O78" s="12">
        <f t="shared" si="9"/>
        <v>1.720702892896326E-2</v>
      </c>
    </row>
    <row r="79" spans="1:16" x14ac:dyDescent="0.2">
      <c r="A79" s="3" t="str">
        <f t="shared" si="10"/>
        <v>20195</v>
      </c>
      <c r="B79" s="49">
        <f t="shared" si="11"/>
        <v>2019</v>
      </c>
      <c r="C79" s="52">
        <v>43616</v>
      </c>
      <c r="D79" s="53">
        <f>+Inputs!D79</f>
        <v>20313028.579999998</v>
      </c>
      <c r="E79" s="201">
        <v>144.06</v>
      </c>
      <c r="F79" s="201">
        <v>23.914999999999999</v>
      </c>
      <c r="G79" s="53">
        <f>+Inputs!G79</f>
        <v>31</v>
      </c>
      <c r="H79" s="105">
        <f t="shared" si="6"/>
        <v>1</v>
      </c>
      <c r="I79" s="53">
        <f>+Inputs!I79</f>
        <v>352</v>
      </c>
      <c r="J79" s="53">
        <f>+Inputs!J79</f>
        <v>0</v>
      </c>
      <c r="K79" s="53">
        <f>+Inputs!M79</f>
        <v>77</v>
      </c>
      <c r="L79" s="53">
        <f t="shared" si="12"/>
        <v>21046401.205944169</v>
      </c>
      <c r="M79" s="37">
        <f t="shared" si="7"/>
        <v>733372.6259441711</v>
      </c>
      <c r="N79" s="45">
        <f t="shared" si="8"/>
        <v>3.6103559006766837E-2</v>
      </c>
      <c r="O79" s="12">
        <f t="shared" si="9"/>
        <v>3.6103559006766837E-2</v>
      </c>
    </row>
    <row r="80" spans="1:16" x14ac:dyDescent="0.2">
      <c r="A80" s="3" t="str">
        <f t="shared" si="10"/>
        <v>20196</v>
      </c>
      <c r="B80" s="49">
        <f t="shared" si="11"/>
        <v>2019</v>
      </c>
      <c r="C80" s="52">
        <v>43646</v>
      </c>
      <c r="D80" s="53">
        <f>+Inputs!D80</f>
        <v>20039267.039999999</v>
      </c>
      <c r="E80" s="201">
        <v>21.37</v>
      </c>
      <c r="F80" s="201">
        <v>69.710000000000008</v>
      </c>
      <c r="G80" s="53">
        <f>+Inputs!G80</f>
        <v>30</v>
      </c>
      <c r="H80" s="105">
        <f t="shared" ref="H80:H143" si="13">+H68</f>
        <v>0.66666666666666663</v>
      </c>
      <c r="I80" s="53">
        <f>+Inputs!I80</f>
        <v>320</v>
      </c>
      <c r="J80" s="53">
        <f>+Inputs!J80</f>
        <v>0</v>
      </c>
      <c r="K80" s="53">
        <f>+Inputs!M80</f>
        <v>78</v>
      </c>
      <c r="L80" s="53">
        <f t="shared" si="12"/>
        <v>20868163.68252207</v>
      </c>
      <c r="M80" s="37">
        <f t="shared" si="7"/>
        <v>828896.64252207056</v>
      </c>
      <c r="N80" s="45">
        <f t="shared" si="8"/>
        <v>4.1363620778520779E-2</v>
      </c>
      <c r="O80" s="12">
        <f t="shared" si="9"/>
        <v>4.1363620778520779E-2</v>
      </c>
    </row>
    <row r="81" spans="1:16" x14ac:dyDescent="0.2">
      <c r="A81" s="3" t="str">
        <f t="shared" si="10"/>
        <v>20197</v>
      </c>
      <c r="B81" s="49">
        <f t="shared" si="11"/>
        <v>2019</v>
      </c>
      <c r="C81" s="52">
        <v>43677</v>
      </c>
      <c r="D81" s="53">
        <f>+Inputs!D81</f>
        <v>24391822</v>
      </c>
      <c r="E81" s="201">
        <v>1.24</v>
      </c>
      <c r="F81" s="201">
        <v>140.78500000000003</v>
      </c>
      <c r="G81" s="53">
        <f>+Inputs!G81</f>
        <v>31</v>
      </c>
      <c r="H81" s="105">
        <f t="shared" si="13"/>
        <v>0</v>
      </c>
      <c r="I81" s="53">
        <f>+Inputs!I81</f>
        <v>352</v>
      </c>
      <c r="J81" s="53">
        <f>+Inputs!J81</f>
        <v>0</v>
      </c>
      <c r="K81" s="53">
        <f>+Inputs!M81</f>
        <v>79</v>
      </c>
      <c r="L81" s="53">
        <f t="shared" si="12"/>
        <v>23629800.507551484</v>
      </c>
      <c r="M81" s="37">
        <f t="shared" si="7"/>
        <v>-762021.49244851619</v>
      </c>
      <c r="N81" s="45">
        <f t="shared" si="8"/>
        <v>-3.124085984427552E-2</v>
      </c>
      <c r="O81" s="12">
        <f t="shared" si="9"/>
        <v>3.124085984427552E-2</v>
      </c>
      <c r="P81"/>
    </row>
    <row r="82" spans="1:16" x14ac:dyDescent="0.2">
      <c r="A82" s="3" t="str">
        <f t="shared" si="10"/>
        <v>20198</v>
      </c>
      <c r="B82" s="49">
        <f t="shared" si="11"/>
        <v>2019</v>
      </c>
      <c r="C82" s="52">
        <v>43708</v>
      </c>
      <c r="D82" s="53">
        <f>+Inputs!D82</f>
        <v>22245573.850000001</v>
      </c>
      <c r="E82" s="201">
        <v>3.5549999999999997</v>
      </c>
      <c r="F82" s="201">
        <v>122.37</v>
      </c>
      <c r="G82" s="53">
        <f>+Inputs!G82</f>
        <v>31</v>
      </c>
      <c r="H82" s="105">
        <f t="shared" si="13"/>
        <v>0</v>
      </c>
      <c r="I82" s="53">
        <f>+Inputs!I82</f>
        <v>352</v>
      </c>
      <c r="J82" s="53">
        <f>+Inputs!J82</f>
        <v>0</v>
      </c>
      <c r="K82" s="53">
        <f>+Inputs!M82</f>
        <v>80</v>
      </c>
      <c r="L82" s="53">
        <f t="shared" si="12"/>
        <v>23208225.081003647</v>
      </c>
      <c r="M82" s="37">
        <f t="shared" si="7"/>
        <v>962651.23100364581</v>
      </c>
      <c r="N82" s="45">
        <f t="shared" si="8"/>
        <v>4.3273832246123231E-2</v>
      </c>
      <c r="O82" s="12">
        <f t="shared" si="9"/>
        <v>4.3273832246123231E-2</v>
      </c>
      <c r="P82"/>
    </row>
    <row r="83" spans="1:16" x14ac:dyDescent="0.2">
      <c r="A83" s="3" t="str">
        <f t="shared" si="10"/>
        <v>20199</v>
      </c>
      <c r="B83" s="49">
        <f t="shared" si="11"/>
        <v>2019</v>
      </c>
      <c r="C83" s="52">
        <v>43738</v>
      </c>
      <c r="D83" s="53">
        <f>+Inputs!D83</f>
        <v>20055564.270000003</v>
      </c>
      <c r="E83" s="201">
        <v>44.225000000000009</v>
      </c>
      <c r="F83" s="201">
        <v>50.904999999999987</v>
      </c>
      <c r="G83" s="53">
        <f>+Inputs!G83</f>
        <v>30</v>
      </c>
      <c r="H83" s="105">
        <f t="shared" si="13"/>
        <v>0.33333333333333331</v>
      </c>
      <c r="I83" s="53">
        <f>+Inputs!I83</f>
        <v>320</v>
      </c>
      <c r="J83" s="53">
        <f>+Inputs!J83</f>
        <v>0</v>
      </c>
      <c r="K83" s="53">
        <f>+Inputs!M83</f>
        <v>81</v>
      </c>
      <c r="L83" s="53">
        <f t="shared" si="12"/>
        <v>20762140.483896066</v>
      </c>
      <c r="M83" s="37">
        <f t="shared" si="7"/>
        <v>706576.21389606223</v>
      </c>
      <c r="N83" s="45">
        <f t="shared" si="8"/>
        <v>3.5230931644889697E-2</v>
      </c>
      <c r="O83" s="12">
        <f t="shared" si="9"/>
        <v>3.5230931644889697E-2</v>
      </c>
      <c r="P83"/>
    </row>
    <row r="84" spans="1:16" x14ac:dyDescent="0.2">
      <c r="A84" s="3" t="str">
        <f t="shared" si="10"/>
        <v>201910</v>
      </c>
      <c r="B84" s="49">
        <f t="shared" si="11"/>
        <v>2019</v>
      </c>
      <c r="C84" s="52">
        <v>43769</v>
      </c>
      <c r="D84" s="53">
        <f>+Inputs!D84</f>
        <v>20697385.880000003</v>
      </c>
      <c r="E84" s="201">
        <v>222.22000000000003</v>
      </c>
      <c r="F84" s="201">
        <v>3.3</v>
      </c>
      <c r="G84" s="53">
        <f>+Inputs!G84</f>
        <v>31</v>
      </c>
      <c r="H84" s="105">
        <f t="shared" si="13"/>
        <v>1</v>
      </c>
      <c r="I84" s="53">
        <f>+Inputs!I84</f>
        <v>352</v>
      </c>
      <c r="J84" s="53">
        <f>+Inputs!J84</f>
        <v>0</v>
      </c>
      <c r="K84" s="53">
        <f>+Inputs!M84</f>
        <v>82</v>
      </c>
      <c r="L84" s="53">
        <f t="shared" si="12"/>
        <v>21072420.880287942</v>
      </c>
      <c r="M84" s="37">
        <f t="shared" si="7"/>
        <v>375035.00028793886</v>
      </c>
      <c r="N84" s="45">
        <f t="shared" si="8"/>
        <v>1.8119921156339713E-2</v>
      </c>
      <c r="O84" s="12">
        <f t="shared" si="9"/>
        <v>1.8119921156339713E-2</v>
      </c>
      <c r="P84"/>
    </row>
    <row r="85" spans="1:16" x14ac:dyDescent="0.2">
      <c r="A85" s="3" t="str">
        <f t="shared" si="10"/>
        <v>201911</v>
      </c>
      <c r="B85" s="49">
        <f t="shared" si="11"/>
        <v>2019</v>
      </c>
      <c r="C85" s="52">
        <v>43799</v>
      </c>
      <c r="D85" s="53">
        <f>+Inputs!D85</f>
        <v>22060075.600000001</v>
      </c>
      <c r="E85" s="201">
        <v>420.84500000000008</v>
      </c>
      <c r="F85" s="201">
        <v>0.09</v>
      </c>
      <c r="G85" s="53">
        <f>+Inputs!G85</f>
        <v>30</v>
      </c>
      <c r="H85" s="105">
        <f t="shared" si="13"/>
        <v>1</v>
      </c>
      <c r="I85" s="53">
        <f>+Inputs!I85</f>
        <v>336</v>
      </c>
      <c r="J85" s="53">
        <f>+Inputs!J85</f>
        <v>0</v>
      </c>
      <c r="K85" s="53">
        <f>+Inputs!M85</f>
        <v>83</v>
      </c>
      <c r="L85" s="53">
        <f t="shared" si="12"/>
        <v>21565692.724291019</v>
      </c>
      <c r="M85" s="37">
        <f t="shared" si="7"/>
        <v>-494382.87570898235</v>
      </c>
      <c r="N85" s="45">
        <f t="shared" si="8"/>
        <v>-2.2410751652590995E-2</v>
      </c>
      <c r="O85" s="12">
        <f t="shared" si="9"/>
        <v>2.2410751652590995E-2</v>
      </c>
      <c r="P85"/>
    </row>
    <row r="86" spans="1:16" x14ac:dyDescent="0.2">
      <c r="A86" s="3" t="str">
        <f t="shared" si="10"/>
        <v>201912</v>
      </c>
      <c r="B86" s="49">
        <f t="shared" si="11"/>
        <v>2019</v>
      </c>
      <c r="C86" s="52">
        <v>43830</v>
      </c>
      <c r="D86" s="53">
        <f>+Inputs!D86</f>
        <v>22125178.859999999</v>
      </c>
      <c r="E86" s="201">
        <v>579.06000000000006</v>
      </c>
      <c r="F86" s="201">
        <v>0</v>
      </c>
      <c r="G86" s="53">
        <f>+Inputs!G86</f>
        <v>31</v>
      </c>
      <c r="H86" s="105">
        <f t="shared" si="13"/>
        <v>0.66666666666666663</v>
      </c>
      <c r="I86" s="53">
        <f>+Inputs!I86</f>
        <v>320</v>
      </c>
      <c r="J86" s="53">
        <f>+Inputs!J86</f>
        <v>0</v>
      </c>
      <c r="K86" s="53">
        <f>+Inputs!M86</f>
        <v>84</v>
      </c>
      <c r="L86" s="53">
        <f t="shared" si="12"/>
        <v>22916925.306631371</v>
      </c>
      <c r="M86" s="37">
        <f t="shared" si="7"/>
        <v>791746.44663137197</v>
      </c>
      <c r="N86" s="45">
        <f t="shared" si="8"/>
        <v>3.5784860842990353E-2</v>
      </c>
      <c r="O86" s="12">
        <f t="shared" si="9"/>
        <v>3.5784860842990353E-2</v>
      </c>
      <c r="P86"/>
    </row>
    <row r="87" spans="1:16" x14ac:dyDescent="0.2">
      <c r="A87" s="3" t="str">
        <f t="shared" si="10"/>
        <v>20201</v>
      </c>
      <c r="B87" s="49">
        <f t="shared" si="11"/>
        <v>2020</v>
      </c>
      <c r="C87" s="52">
        <v>43861</v>
      </c>
      <c r="D87" s="53">
        <f>+Inputs!D87</f>
        <v>23214919.18</v>
      </c>
      <c r="E87" s="201">
        <v>703.65</v>
      </c>
      <c r="F87" s="201">
        <v>0</v>
      </c>
      <c r="G87" s="53">
        <f>+Inputs!G87</f>
        <v>31</v>
      </c>
      <c r="H87" s="105">
        <f t="shared" si="13"/>
        <v>0</v>
      </c>
      <c r="I87" s="53">
        <f>+Inputs!I87</f>
        <v>352</v>
      </c>
      <c r="J87" s="53">
        <f>+Inputs!J87</f>
        <v>0</v>
      </c>
      <c r="K87" s="53">
        <f>+Inputs!M87</f>
        <v>85</v>
      </c>
      <c r="L87" s="53">
        <f t="shared" si="12"/>
        <v>24361687.164156586</v>
      </c>
      <c r="M87" s="37">
        <f t="shared" si="7"/>
        <v>1146767.9841565862</v>
      </c>
      <c r="N87" s="45">
        <f t="shared" si="8"/>
        <v>4.9397888283175415E-2</v>
      </c>
      <c r="O87" s="12">
        <f t="shared" si="9"/>
        <v>4.9397888283175415E-2</v>
      </c>
      <c r="P87"/>
    </row>
    <row r="88" spans="1:16" x14ac:dyDescent="0.2">
      <c r="A88" s="3" t="str">
        <f t="shared" si="10"/>
        <v>20202</v>
      </c>
      <c r="B88" s="49">
        <f t="shared" si="11"/>
        <v>2020</v>
      </c>
      <c r="C88" s="52">
        <v>43890</v>
      </c>
      <c r="D88" s="53">
        <f>+Inputs!D88</f>
        <v>21739398</v>
      </c>
      <c r="E88" s="201">
        <v>630.40499999999997</v>
      </c>
      <c r="F88" s="201">
        <v>0</v>
      </c>
      <c r="G88" s="53">
        <f>+Inputs!G88</f>
        <v>29</v>
      </c>
      <c r="H88" s="105">
        <f t="shared" si="13"/>
        <v>0</v>
      </c>
      <c r="I88" s="53">
        <f>+Inputs!I88</f>
        <v>304</v>
      </c>
      <c r="J88" s="53">
        <f>+Inputs!J88</f>
        <v>0</v>
      </c>
      <c r="K88" s="53">
        <f>+Inputs!M88</f>
        <v>86</v>
      </c>
      <c r="L88" s="53">
        <f t="shared" si="12"/>
        <v>22578054.129355818</v>
      </c>
      <c r="M88" s="37">
        <f t="shared" si="7"/>
        <v>838656.12935581803</v>
      </c>
      <c r="N88" s="45">
        <f t="shared" si="8"/>
        <v>3.85777071359482E-2</v>
      </c>
      <c r="O88" s="12">
        <f t="shared" si="9"/>
        <v>3.85777071359482E-2</v>
      </c>
      <c r="P88"/>
    </row>
    <row r="89" spans="1:16" x14ac:dyDescent="0.2">
      <c r="A89" s="3" t="str">
        <f t="shared" si="10"/>
        <v>20203</v>
      </c>
      <c r="B89" s="49">
        <f t="shared" si="11"/>
        <v>2020</v>
      </c>
      <c r="C89" s="52">
        <v>43921</v>
      </c>
      <c r="D89" s="53">
        <f>+Inputs!D89</f>
        <v>21884530.75</v>
      </c>
      <c r="E89" s="201">
        <v>547.82999999999993</v>
      </c>
      <c r="F89" s="201">
        <v>0</v>
      </c>
      <c r="G89" s="53">
        <f>+Inputs!G89</f>
        <v>31</v>
      </c>
      <c r="H89" s="105">
        <f t="shared" si="13"/>
        <v>0.33333333333333331</v>
      </c>
      <c r="I89" s="53">
        <f>+Inputs!I89</f>
        <v>352</v>
      </c>
      <c r="J89" s="53">
        <v>0</v>
      </c>
      <c r="K89" s="53">
        <f>+Inputs!M89</f>
        <v>87</v>
      </c>
      <c r="L89" s="53">
        <f t="shared" si="12"/>
        <v>23310844.453860961</v>
      </c>
      <c r="M89" s="37">
        <f t="shared" si="7"/>
        <v>1426313.7038609609</v>
      </c>
      <c r="N89" s="45">
        <f t="shared" si="8"/>
        <v>6.517451619843212E-2</v>
      </c>
      <c r="O89" s="12">
        <f t="shared" si="9"/>
        <v>6.517451619843212E-2</v>
      </c>
      <c r="P89"/>
    </row>
    <row r="90" spans="1:16" x14ac:dyDescent="0.2">
      <c r="A90" s="3" t="str">
        <f t="shared" si="10"/>
        <v>20204</v>
      </c>
      <c r="B90" s="49">
        <f t="shared" si="11"/>
        <v>2020</v>
      </c>
      <c r="C90" s="52">
        <v>43951</v>
      </c>
      <c r="D90" s="53">
        <f>+Inputs!D90</f>
        <v>18977422.57</v>
      </c>
      <c r="E90" s="201">
        <v>338.72500000000002</v>
      </c>
      <c r="F90" s="201">
        <v>0.71000000000000008</v>
      </c>
      <c r="G90" s="53">
        <f>+Inputs!G90</f>
        <v>30</v>
      </c>
      <c r="H90" s="105">
        <f t="shared" si="13"/>
        <v>1</v>
      </c>
      <c r="I90" s="53">
        <f>+Inputs!I90</f>
        <v>336</v>
      </c>
      <c r="J90" s="53">
        <v>1</v>
      </c>
      <c r="K90" s="53">
        <f>+Inputs!M90</f>
        <v>88</v>
      </c>
      <c r="L90" s="53">
        <f t="shared" si="12"/>
        <v>18857752.818298899</v>
      </c>
      <c r="M90" s="37">
        <f t="shared" si="7"/>
        <v>-119669.75170110166</v>
      </c>
      <c r="N90" s="45">
        <f t="shared" si="8"/>
        <v>-6.3059011970507889E-3</v>
      </c>
      <c r="O90" s="12">
        <f t="shared" si="9"/>
        <v>6.3059011970507889E-3</v>
      </c>
      <c r="P90"/>
    </row>
    <row r="91" spans="1:16" x14ac:dyDescent="0.2">
      <c r="A91" s="3" t="str">
        <f t="shared" si="10"/>
        <v>20205</v>
      </c>
      <c r="B91" s="49">
        <f t="shared" si="11"/>
        <v>2020</v>
      </c>
      <c r="C91" s="52">
        <v>43982</v>
      </c>
      <c r="D91" s="53">
        <f>+Inputs!D91</f>
        <v>19969257.329999998</v>
      </c>
      <c r="E91" s="201">
        <v>144.06</v>
      </c>
      <c r="F91" s="201">
        <v>23.914999999999999</v>
      </c>
      <c r="G91" s="53">
        <f>+Inputs!G91</f>
        <v>31</v>
      </c>
      <c r="H91" s="105">
        <f t="shared" si="13"/>
        <v>1</v>
      </c>
      <c r="I91" s="53">
        <f>+Inputs!I91</f>
        <v>320</v>
      </c>
      <c r="J91" s="53">
        <v>0</v>
      </c>
      <c r="K91" s="53">
        <f>+Inputs!M91</f>
        <v>89</v>
      </c>
      <c r="L91" s="53">
        <f t="shared" si="12"/>
        <v>20873410.668455143</v>
      </c>
      <c r="M91" s="37">
        <f t="shared" si="7"/>
        <v>904153.33845514432</v>
      </c>
      <c r="N91" s="45">
        <f t="shared" si="8"/>
        <v>4.5277264122227844E-2</v>
      </c>
      <c r="O91" s="12">
        <f t="shared" si="9"/>
        <v>4.5277264122227844E-2</v>
      </c>
      <c r="P91"/>
    </row>
    <row r="92" spans="1:16" x14ac:dyDescent="0.2">
      <c r="A92" s="3" t="str">
        <f t="shared" si="10"/>
        <v>20206</v>
      </c>
      <c r="B92" s="49">
        <f t="shared" si="11"/>
        <v>2020</v>
      </c>
      <c r="C92" s="52">
        <v>44012</v>
      </c>
      <c r="D92" s="53">
        <f>+Inputs!D92</f>
        <v>21668186.52</v>
      </c>
      <c r="E92" s="201">
        <v>21.37</v>
      </c>
      <c r="F92" s="201">
        <v>69.710000000000008</v>
      </c>
      <c r="G92" s="53">
        <f>+Inputs!G92</f>
        <v>30</v>
      </c>
      <c r="H92" s="105">
        <f t="shared" si="13"/>
        <v>0.66666666666666663</v>
      </c>
      <c r="I92" s="53">
        <f>+Inputs!I92</f>
        <v>352</v>
      </c>
      <c r="J92" s="53">
        <f>+Inputs!J92</f>
        <v>0</v>
      </c>
      <c r="K92" s="53">
        <f>+Inputs!M92</f>
        <v>90</v>
      </c>
      <c r="L92" s="53">
        <f t="shared" si="12"/>
        <v>21404381.092490513</v>
      </c>
      <c r="M92" s="37">
        <f t="shared" si="7"/>
        <v>-263805.42750948668</v>
      </c>
      <c r="N92" s="45">
        <f t="shared" si="8"/>
        <v>-1.2174781090516784E-2</v>
      </c>
      <c r="O92" s="12">
        <f t="shared" si="9"/>
        <v>1.2174781090516784E-2</v>
      </c>
      <c r="P92"/>
    </row>
    <row r="93" spans="1:16" x14ac:dyDescent="0.2">
      <c r="A93" s="3" t="str">
        <f t="shared" si="10"/>
        <v>20207</v>
      </c>
      <c r="B93" s="49">
        <f t="shared" si="11"/>
        <v>2020</v>
      </c>
      <c r="C93" s="52">
        <v>44043</v>
      </c>
      <c r="D93" s="53">
        <f>+Inputs!D93</f>
        <v>25628770.52</v>
      </c>
      <c r="E93" s="201">
        <v>1.24</v>
      </c>
      <c r="F93" s="201">
        <v>140.78500000000003</v>
      </c>
      <c r="G93" s="53">
        <f>+Inputs!G93</f>
        <v>31</v>
      </c>
      <c r="H93" s="105">
        <f t="shared" si="13"/>
        <v>0</v>
      </c>
      <c r="I93" s="53">
        <f>+Inputs!I93</f>
        <v>352</v>
      </c>
      <c r="J93" s="53">
        <f>+Inputs!J93</f>
        <v>0</v>
      </c>
      <c r="K93" s="53">
        <f>+Inputs!M93</f>
        <v>91</v>
      </c>
      <c r="L93" s="53">
        <f t="shared" si="12"/>
        <v>23811413.943791196</v>
      </c>
      <c r="M93" s="37">
        <f t="shared" si="7"/>
        <v>-1817356.5762088038</v>
      </c>
      <c r="N93" s="45">
        <f t="shared" si="8"/>
        <v>-7.0910798268320668E-2</v>
      </c>
      <c r="O93" s="12">
        <f t="shared" si="9"/>
        <v>7.0910798268320668E-2</v>
      </c>
      <c r="P93"/>
    </row>
    <row r="94" spans="1:16" x14ac:dyDescent="0.2">
      <c r="A94" s="3" t="str">
        <f t="shared" si="10"/>
        <v>20208</v>
      </c>
      <c r="B94" s="49">
        <f t="shared" si="11"/>
        <v>2020</v>
      </c>
      <c r="C94" s="52">
        <v>44074</v>
      </c>
      <c r="D94" s="53">
        <f>+Inputs!D94</f>
        <v>23467038.809999999</v>
      </c>
      <c r="E94" s="201">
        <v>3.5549999999999997</v>
      </c>
      <c r="F94" s="201">
        <v>122.37</v>
      </c>
      <c r="G94" s="53">
        <f>+Inputs!G94</f>
        <v>31</v>
      </c>
      <c r="H94" s="105">
        <f t="shared" si="13"/>
        <v>0</v>
      </c>
      <c r="I94" s="53">
        <f>+Inputs!I94</f>
        <v>336</v>
      </c>
      <c r="J94" s="53">
        <f>+Inputs!J94</f>
        <v>0</v>
      </c>
      <c r="K94" s="53">
        <f>+Inputs!M94</f>
        <v>92</v>
      </c>
      <c r="L94" s="53">
        <f t="shared" si="12"/>
        <v>23212536.53037899</v>
      </c>
      <c r="M94" s="37">
        <f t="shared" si="7"/>
        <v>-254502.27962100878</v>
      </c>
      <c r="N94" s="45">
        <f t="shared" si="8"/>
        <v>-1.0845095611831427E-2</v>
      </c>
      <c r="O94" s="12">
        <f t="shared" si="9"/>
        <v>1.0845095611831427E-2</v>
      </c>
      <c r="P94"/>
    </row>
    <row r="95" spans="1:16" x14ac:dyDescent="0.2">
      <c r="A95" s="3" t="str">
        <f t="shared" si="10"/>
        <v>20209</v>
      </c>
      <c r="B95" s="49">
        <f t="shared" si="11"/>
        <v>2020</v>
      </c>
      <c r="C95" s="52">
        <v>44104</v>
      </c>
      <c r="D95" s="53">
        <f>+Inputs!D95</f>
        <v>20269648.150000002</v>
      </c>
      <c r="E95" s="201">
        <v>44.225000000000009</v>
      </c>
      <c r="F95" s="201">
        <v>50.904999999999987</v>
      </c>
      <c r="G95" s="53">
        <f>+Inputs!G95</f>
        <v>30</v>
      </c>
      <c r="H95" s="105">
        <f t="shared" si="13"/>
        <v>0.33333333333333331</v>
      </c>
      <c r="I95" s="53">
        <f>+Inputs!I95</f>
        <v>336</v>
      </c>
      <c r="J95" s="53">
        <f>+Inputs!J95</f>
        <v>0</v>
      </c>
      <c r="K95" s="53">
        <f>+Inputs!M95</f>
        <v>93</v>
      </c>
      <c r="L95" s="53">
        <f t="shared" si="12"/>
        <v>21121055.907000143</v>
      </c>
      <c r="M95" s="37">
        <f t="shared" si="7"/>
        <v>851407.75700014085</v>
      </c>
      <c r="N95" s="45">
        <f t="shared" si="8"/>
        <v>4.2004071836843439E-2</v>
      </c>
      <c r="O95" s="12">
        <f t="shared" si="9"/>
        <v>4.2004071836843439E-2</v>
      </c>
      <c r="P95"/>
    </row>
    <row r="96" spans="1:16" x14ac:dyDescent="0.2">
      <c r="A96" s="3" t="str">
        <f t="shared" si="10"/>
        <v>202010</v>
      </c>
      <c r="B96" s="49">
        <f t="shared" si="11"/>
        <v>2020</v>
      </c>
      <c r="C96" s="52">
        <v>44135</v>
      </c>
      <c r="D96" s="53">
        <f>+Inputs!D96</f>
        <v>21294106.91</v>
      </c>
      <c r="E96" s="201">
        <v>222.22000000000003</v>
      </c>
      <c r="F96" s="201">
        <v>3.3</v>
      </c>
      <c r="G96" s="53">
        <f>+Inputs!G96</f>
        <v>31</v>
      </c>
      <c r="H96" s="105">
        <f t="shared" si="13"/>
        <v>1</v>
      </c>
      <c r="I96" s="53">
        <f>+Inputs!I96</f>
        <v>336</v>
      </c>
      <c r="J96" s="53">
        <f>+Inputs!J96</f>
        <v>0</v>
      </c>
      <c r="K96" s="53">
        <f>+Inputs!M96</f>
        <v>94</v>
      </c>
      <c r="L96" s="53">
        <f t="shared" si="12"/>
        <v>21076732.329663284</v>
      </c>
      <c r="M96" s="37">
        <f t="shared" si="7"/>
        <v>-217374.58033671603</v>
      </c>
      <c r="N96" s="45">
        <f t="shared" si="8"/>
        <v>-1.020820367134693E-2</v>
      </c>
      <c r="O96" s="12">
        <f t="shared" si="9"/>
        <v>1.020820367134693E-2</v>
      </c>
      <c r="P96"/>
    </row>
    <row r="97" spans="1:16" x14ac:dyDescent="0.2">
      <c r="A97" s="3" t="str">
        <f t="shared" si="10"/>
        <v>202011</v>
      </c>
      <c r="B97" s="49">
        <f t="shared" si="11"/>
        <v>2020</v>
      </c>
      <c r="C97" s="52">
        <v>44165</v>
      </c>
      <c r="D97" s="53">
        <f>+Inputs!D97</f>
        <v>21744994.359999999</v>
      </c>
      <c r="E97" s="201">
        <v>420.84500000000008</v>
      </c>
      <c r="F97" s="201">
        <v>0.09</v>
      </c>
      <c r="G97" s="53">
        <f>+Inputs!G97</f>
        <v>30</v>
      </c>
      <c r="H97" s="105">
        <f t="shared" si="13"/>
        <v>1</v>
      </c>
      <c r="I97" s="53">
        <f>+Inputs!I97</f>
        <v>336</v>
      </c>
      <c r="J97" s="53">
        <f>+Inputs!J97</f>
        <v>0</v>
      </c>
      <c r="K97" s="53">
        <f>+Inputs!M97</f>
        <v>95</v>
      </c>
      <c r="L97" s="53">
        <f t="shared" si="12"/>
        <v>21747306.160530727</v>
      </c>
      <c r="M97" s="37">
        <f t="shared" si="7"/>
        <v>2311.8005307279527</v>
      </c>
      <c r="N97" s="45">
        <f t="shared" si="8"/>
        <v>1.0631414717589068E-4</v>
      </c>
      <c r="O97" s="12">
        <f t="shared" si="9"/>
        <v>1.0631414717589068E-4</v>
      </c>
      <c r="P97"/>
    </row>
    <row r="98" spans="1:16" x14ac:dyDescent="0.2">
      <c r="A98" s="3" t="str">
        <f t="shared" si="10"/>
        <v>202012</v>
      </c>
      <c r="B98" s="49">
        <f t="shared" si="11"/>
        <v>2020</v>
      </c>
      <c r="C98" s="52">
        <v>44196</v>
      </c>
      <c r="D98" s="53">
        <f>+Inputs!D98</f>
        <v>23632657.099999998</v>
      </c>
      <c r="E98" s="201">
        <v>579.06000000000006</v>
      </c>
      <c r="F98" s="201">
        <v>0</v>
      </c>
      <c r="G98" s="53">
        <f>+Inputs!G98</f>
        <v>31</v>
      </c>
      <c r="H98" s="105">
        <f t="shared" si="13"/>
        <v>0.66666666666666663</v>
      </c>
      <c r="I98" s="53">
        <f>+Inputs!I98</f>
        <v>336</v>
      </c>
      <c r="J98" s="53">
        <f>+Inputs!J98</f>
        <v>0</v>
      </c>
      <c r="K98" s="53">
        <f>+Inputs!M98</f>
        <v>96</v>
      </c>
      <c r="L98" s="53">
        <f t="shared" si="12"/>
        <v>23275840.729735453</v>
      </c>
      <c r="M98" s="37">
        <f t="shared" si="7"/>
        <v>-356816.37026454508</v>
      </c>
      <c r="N98" s="45">
        <f t="shared" si="8"/>
        <v>-1.5098444866131669E-2</v>
      </c>
      <c r="O98" s="12">
        <f t="shared" si="9"/>
        <v>1.5098444866131669E-2</v>
      </c>
      <c r="P98"/>
    </row>
    <row r="99" spans="1:16" x14ac:dyDescent="0.2">
      <c r="A99" s="3" t="str">
        <f t="shared" si="10"/>
        <v>20211</v>
      </c>
      <c r="B99" s="49">
        <f t="shared" si="11"/>
        <v>2021</v>
      </c>
      <c r="C99" s="52">
        <v>44227</v>
      </c>
      <c r="D99" s="53">
        <f>+Inputs!D99</f>
        <v>23541928.949999999</v>
      </c>
      <c r="E99" s="201">
        <v>703.65</v>
      </c>
      <c r="F99" s="201">
        <v>0</v>
      </c>
      <c r="G99" s="53">
        <f>+Inputs!G99</f>
        <v>31</v>
      </c>
      <c r="H99" s="105">
        <f t="shared" si="13"/>
        <v>0</v>
      </c>
      <c r="I99" s="53">
        <f>+Inputs!I99</f>
        <v>320</v>
      </c>
      <c r="J99" s="53">
        <f>+Inputs!J99</f>
        <v>0</v>
      </c>
      <c r="K99" s="53">
        <f>+Inputs!M99</f>
        <v>97</v>
      </c>
      <c r="L99" s="53">
        <f t="shared" si="12"/>
        <v>24188696.626667563</v>
      </c>
      <c r="M99" s="37">
        <f t="shared" si="7"/>
        <v>646767.67666756362</v>
      </c>
      <c r="N99" s="45">
        <f t="shared" si="8"/>
        <v>2.7473011155594522E-2</v>
      </c>
      <c r="O99" s="12">
        <f t="shared" si="9"/>
        <v>2.7473011155594522E-2</v>
      </c>
      <c r="P99"/>
    </row>
    <row r="100" spans="1:16" x14ac:dyDescent="0.2">
      <c r="A100" s="3" t="str">
        <f t="shared" si="10"/>
        <v>20212</v>
      </c>
      <c r="B100" s="49">
        <f t="shared" si="11"/>
        <v>2021</v>
      </c>
      <c r="C100" s="52">
        <v>44255</v>
      </c>
      <c r="D100" s="53">
        <f>+Inputs!D100</f>
        <v>22305481.220000003</v>
      </c>
      <c r="E100" s="201">
        <v>630.40499999999997</v>
      </c>
      <c r="F100" s="201">
        <v>0</v>
      </c>
      <c r="G100" s="53">
        <f>+Inputs!G100</f>
        <v>28</v>
      </c>
      <c r="H100" s="105">
        <f t="shared" si="13"/>
        <v>0</v>
      </c>
      <c r="I100" s="53">
        <f>+Inputs!I100</f>
        <v>304</v>
      </c>
      <c r="J100" s="53">
        <f>+Inputs!J100</f>
        <v>0</v>
      </c>
      <c r="K100" s="53">
        <f>+Inputs!M100</f>
        <v>98</v>
      </c>
      <c r="L100" s="53">
        <f t="shared" si="12"/>
        <v>22339099.537853867</v>
      </c>
      <c r="M100" s="37">
        <f t="shared" si="7"/>
        <v>33618.317853864282</v>
      </c>
      <c r="N100" s="45">
        <f t="shared" si="8"/>
        <v>1.5071774297216564E-3</v>
      </c>
      <c r="O100" s="12">
        <f t="shared" si="9"/>
        <v>1.5071774297216564E-3</v>
      </c>
      <c r="P100"/>
    </row>
    <row r="101" spans="1:16" x14ac:dyDescent="0.2">
      <c r="A101" s="3" t="str">
        <f t="shared" si="10"/>
        <v>20213</v>
      </c>
      <c r="B101" s="49">
        <f t="shared" si="11"/>
        <v>2021</v>
      </c>
      <c r="C101" s="52">
        <v>44286</v>
      </c>
      <c r="D101" s="53">
        <f>+Inputs!D101</f>
        <v>23069807.16</v>
      </c>
      <c r="E101" s="201">
        <v>547.82999999999993</v>
      </c>
      <c r="F101" s="201">
        <v>0</v>
      </c>
      <c r="G101" s="53">
        <f>+Inputs!G101</f>
        <v>31</v>
      </c>
      <c r="H101" s="105">
        <f t="shared" si="13"/>
        <v>0.33333333333333331</v>
      </c>
      <c r="I101" s="53">
        <f>+Inputs!I101</f>
        <v>368</v>
      </c>
      <c r="J101" s="53">
        <f>+Inputs!J101</f>
        <v>0</v>
      </c>
      <c r="K101" s="53">
        <f>+Inputs!M101</f>
        <v>99</v>
      </c>
      <c r="L101" s="53">
        <f t="shared" si="12"/>
        <v>23669759.876965038</v>
      </c>
      <c r="M101" s="37">
        <f t="shared" si="7"/>
        <v>599952.71696503833</v>
      </c>
      <c r="N101" s="45">
        <f t="shared" si="8"/>
        <v>2.6005970175826919E-2</v>
      </c>
      <c r="O101" s="12">
        <f t="shared" si="9"/>
        <v>2.6005970175826919E-2</v>
      </c>
      <c r="P101"/>
    </row>
    <row r="102" spans="1:16" x14ac:dyDescent="0.2">
      <c r="A102" s="3" t="str">
        <f t="shared" si="10"/>
        <v>20214</v>
      </c>
      <c r="B102" s="49">
        <f t="shared" si="11"/>
        <v>2021</v>
      </c>
      <c r="C102" s="52">
        <v>44316</v>
      </c>
      <c r="D102" s="53">
        <f>+Inputs!D102</f>
        <v>20252923.879999999</v>
      </c>
      <c r="E102" s="201">
        <v>338.72500000000002</v>
      </c>
      <c r="F102" s="201">
        <v>0.71000000000000008</v>
      </c>
      <c r="G102" s="53">
        <f>+Inputs!G102</f>
        <v>30</v>
      </c>
      <c r="H102" s="105">
        <f t="shared" si="13"/>
        <v>1</v>
      </c>
      <c r="I102" s="53">
        <f>+Inputs!I102</f>
        <v>336</v>
      </c>
      <c r="J102" s="53">
        <v>0</v>
      </c>
      <c r="K102" s="53">
        <f>+Inputs!M102</f>
        <v>100</v>
      </c>
      <c r="L102" s="53">
        <f t="shared" si="12"/>
        <v>21360824.623569988</v>
      </c>
      <c r="M102" s="37">
        <f t="shared" si="7"/>
        <v>1107900.7435699888</v>
      </c>
      <c r="N102" s="45">
        <f t="shared" si="8"/>
        <v>5.470324927572822E-2</v>
      </c>
      <c r="O102" s="12">
        <f t="shared" si="9"/>
        <v>5.470324927572822E-2</v>
      </c>
      <c r="P102"/>
    </row>
    <row r="103" spans="1:16" x14ac:dyDescent="0.2">
      <c r="A103" s="3" t="str">
        <f t="shared" si="10"/>
        <v>20215</v>
      </c>
      <c r="B103" s="49">
        <f t="shared" si="11"/>
        <v>2021</v>
      </c>
      <c r="C103" s="52">
        <v>44347</v>
      </c>
      <c r="D103" s="53">
        <f>+Inputs!D103</f>
        <v>20759754.799999997</v>
      </c>
      <c r="E103" s="201">
        <v>144.06</v>
      </c>
      <c r="F103" s="201">
        <v>23.914999999999999</v>
      </c>
      <c r="G103" s="53">
        <f>+Inputs!G103</f>
        <v>31</v>
      </c>
      <c r="H103" s="105">
        <f t="shared" si="13"/>
        <v>1</v>
      </c>
      <c r="I103" s="53">
        <f>+Inputs!I103</f>
        <v>320</v>
      </c>
      <c r="J103" s="53">
        <f>+Inputs!J103</f>
        <v>0</v>
      </c>
      <c r="K103" s="53">
        <f>+Inputs!M103</f>
        <v>101</v>
      </c>
      <c r="L103" s="53">
        <f t="shared" si="12"/>
        <v>21055024.104694854</v>
      </c>
      <c r="M103" s="37">
        <f t="shared" si="7"/>
        <v>295269.30469485745</v>
      </c>
      <c r="N103" s="45">
        <f t="shared" si="8"/>
        <v>1.4223159547860242E-2</v>
      </c>
      <c r="O103" s="12">
        <f t="shared" si="9"/>
        <v>1.4223159547860242E-2</v>
      </c>
      <c r="P103"/>
    </row>
    <row r="104" spans="1:16" x14ac:dyDescent="0.2">
      <c r="A104" s="3" t="str">
        <f t="shared" si="10"/>
        <v>20216</v>
      </c>
      <c r="B104" s="49">
        <f t="shared" si="11"/>
        <v>2021</v>
      </c>
      <c r="C104" s="52">
        <v>44377</v>
      </c>
      <c r="D104" s="53">
        <f>+Inputs!D104</f>
        <v>22743690.300000001</v>
      </c>
      <c r="E104" s="201">
        <v>21.37</v>
      </c>
      <c r="F104" s="201">
        <v>69.710000000000008</v>
      </c>
      <c r="G104" s="53">
        <f>+Inputs!G104</f>
        <v>30</v>
      </c>
      <c r="H104" s="105">
        <f t="shared" si="13"/>
        <v>0.66666666666666663</v>
      </c>
      <c r="I104" s="53">
        <f>+Inputs!I104</f>
        <v>352</v>
      </c>
      <c r="J104" s="53">
        <f>+Inputs!J104</f>
        <v>0</v>
      </c>
      <c r="K104" s="53">
        <f>+Inputs!M104</f>
        <v>102</v>
      </c>
      <c r="L104" s="53">
        <f t="shared" si="12"/>
        <v>21585994.528730225</v>
      </c>
      <c r="M104" s="37">
        <f t="shared" si="7"/>
        <v>-1157695.7712697759</v>
      </c>
      <c r="N104" s="45">
        <f t="shared" si="8"/>
        <v>-5.0901843808072604E-2</v>
      </c>
      <c r="O104" s="12">
        <f t="shared" si="9"/>
        <v>5.0901843808072604E-2</v>
      </c>
      <c r="P104"/>
    </row>
    <row r="105" spans="1:16" x14ac:dyDescent="0.2">
      <c r="A105" s="3" t="str">
        <f t="shared" si="10"/>
        <v>20217</v>
      </c>
      <c r="B105" s="49">
        <f t="shared" si="11"/>
        <v>2021</v>
      </c>
      <c r="C105" s="52">
        <v>44408</v>
      </c>
      <c r="D105" s="53">
        <f>+Inputs!D105</f>
        <v>23381044.989999998</v>
      </c>
      <c r="E105" s="201">
        <v>1.24</v>
      </c>
      <c r="F105" s="201">
        <v>140.78500000000003</v>
      </c>
      <c r="G105" s="53">
        <f>+Inputs!G105</f>
        <v>31</v>
      </c>
      <c r="H105" s="105">
        <f t="shared" si="13"/>
        <v>0</v>
      </c>
      <c r="I105" s="53">
        <f>+Inputs!I105</f>
        <v>336</v>
      </c>
      <c r="J105" s="53">
        <f>+Inputs!J105</f>
        <v>0</v>
      </c>
      <c r="K105" s="53">
        <f>+Inputs!M105</f>
        <v>103</v>
      </c>
      <c r="L105" s="53">
        <f t="shared" si="12"/>
        <v>23815725.393166542</v>
      </c>
      <c r="M105" s="37">
        <f t="shared" si="7"/>
        <v>434680.40316654369</v>
      </c>
      <c r="N105" s="45">
        <f t="shared" si="8"/>
        <v>1.8591145235486915E-2</v>
      </c>
      <c r="O105" s="12">
        <f t="shared" si="9"/>
        <v>1.8591145235486915E-2</v>
      </c>
      <c r="P105"/>
    </row>
    <row r="106" spans="1:16" x14ac:dyDescent="0.2">
      <c r="A106" s="3" t="str">
        <f t="shared" si="10"/>
        <v>20218</v>
      </c>
      <c r="B106" s="49">
        <f t="shared" si="11"/>
        <v>2021</v>
      </c>
      <c r="C106" s="52">
        <v>44439</v>
      </c>
      <c r="D106" s="53">
        <f>+Inputs!D106</f>
        <v>25116099.290000003</v>
      </c>
      <c r="E106" s="201">
        <v>3.5549999999999997</v>
      </c>
      <c r="F106" s="201">
        <v>122.37</v>
      </c>
      <c r="G106" s="53">
        <f>+Inputs!G106</f>
        <v>31</v>
      </c>
      <c r="H106" s="105">
        <f t="shared" si="13"/>
        <v>0</v>
      </c>
      <c r="I106" s="53">
        <f>+Inputs!I106</f>
        <v>352</v>
      </c>
      <c r="J106" s="53">
        <f>+Inputs!J106</f>
        <v>0</v>
      </c>
      <c r="K106" s="53">
        <f>+Inputs!M106</f>
        <v>104</v>
      </c>
      <c r="L106" s="53">
        <f t="shared" si="12"/>
        <v>23571451.953483071</v>
      </c>
      <c r="M106" s="37">
        <f t="shared" si="7"/>
        <v>-1544647.3365169317</v>
      </c>
      <c r="N106" s="45">
        <f t="shared" si="8"/>
        <v>-6.1500287870415227E-2</v>
      </c>
      <c r="O106" s="12">
        <f t="shared" si="9"/>
        <v>6.1500287870415227E-2</v>
      </c>
      <c r="P106"/>
    </row>
    <row r="107" spans="1:16" x14ac:dyDescent="0.2">
      <c r="A107" s="3" t="str">
        <f t="shared" si="10"/>
        <v>20219</v>
      </c>
      <c r="B107" s="49">
        <f t="shared" si="11"/>
        <v>2021</v>
      </c>
      <c r="C107" s="52">
        <v>44469</v>
      </c>
      <c r="D107" s="53">
        <f>+Inputs!D107</f>
        <v>20640267.599999998</v>
      </c>
      <c r="E107" s="201">
        <v>44.225000000000009</v>
      </c>
      <c r="F107" s="201">
        <v>50.904999999999987</v>
      </c>
      <c r="G107" s="53">
        <f>+Inputs!G107</f>
        <v>30</v>
      </c>
      <c r="H107" s="105">
        <f t="shared" si="13"/>
        <v>0.33333333333333331</v>
      </c>
      <c r="I107" s="53">
        <f>+Inputs!I107</f>
        <v>336</v>
      </c>
      <c r="J107" s="53">
        <f>+Inputs!J107</f>
        <v>0</v>
      </c>
      <c r="K107" s="53">
        <f>+Inputs!M107</f>
        <v>105</v>
      </c>
      <c r="L107" s="53">
        <f t="shared" si="12"/>
        <v>21302669.343239855</v>
      </c>
      <c r="M107" s="37">
        <f t="shared" si="7"/>
        <v>662401.74323985726</v>
      </c>
      <c r="N107" s="45">
        <f t="shared" si="8"/>
        <v>3.2092691629630681E-2</v>
      </c>
      <c r="O107" s="12">
        <f t="shared" si="9"/>
        <v>3.2092691629630681E-2</v>
      </c>
      <c r="P107"/>
    </row>
    <row r="108" spans="1:16" x14ac:dyDescent="0.2">
      <c r="A108" s="3" t="str">
        <f t="shared" si="10"/>
        <v>202110</v>
      </c>
      <c r="B108" s="49">
        <f t="shared" si="11"/>
        <v>2021</v>
      </c>
      <c r="C108" s="52">
        <v>44500</v>
      </c>
      <c r="D108" s="53">
        <f>+Inputs!D108</f>
        <v>21195541.040000003</v>
      </c>
      <c r="E108" s="201">
        <v>222.22000000000003</v>
      </c>
      <c r="F108" s="201">
        <v>3.3</v>
      </c>
      <c r="G108" s="53">
        <f>+Inputs!G108</f>
        <v>31</v>
      </c>
      <c r="H108" s="105">
        <f t="shared" si="13"/>
        <v>1</v>
      </c>
      <c r="I108" s="53">
        <f>+Inputs!I108</f>
        <v>320</v>
      </c>
      <c r="J108" s="53">
        <f>+Inputs!J108</f>
        <v>0</v>
      </c>
      <c r="K108" s="53">
        <f>+Inputs!M108</f>
        <v>106</v>
      </c>
      <c r="L108" s="53">
        <f t="shared" si="12"/>
        <v>21081043.77903863</v>
      </c>
      <c r="M108" s="37">
        <f t="shared" si="7"/>
        <v>-114497.26096137241</v>
      </c>
      <c r="N108" s="45">
        <f t="shared" si="8"/>
        <v>-5.4019503793413144E-3</v>
      </c>
      <c r="O108" s="12">
        <f t="shared" si="9"/>
        <v>5.4019503793413144E-3</v>
      </c>
      <c r="P108"/>
    </row>
    <row r="109" spans="1:16" x14ac:dyDescent="0.2">
      <c r="A109" s="3" t="str">
        <f t="shared" si="10"/>
        <v>202111</v>
      </c>
      <c r="B109" s="49">
        <f t="shared" si="11"/>
        <v>2021</v>
      </c>
      <c r="C109" s="52">
        <v>44530</v>
      </c>
      <c r="D109" s="53">
        <f>+Inputs!D109</f>
        <v>22402599.130000003</v>
      </c>
      <c r="E109" s="201">
        <v>420.84500000000008</v>
      </c>
      <c r="F109" s="201">
        <v>0.09</v>
      </c>
      <c r="G109" s="53">
        <f>+Inputs!G109</f>
        <v>30</v>
      </c>
      <c r="H109" s="105">
        <f t="shared" si="13"/>
        <v>1</v>
      </c>
      <c r="I109" s="53">
        <f>+Inputs!I109</f>
        <v>352</v>
      </c>
      <c r="J109" s="53">
        <f>+Inputs!J109</f>
        <v>0</v>
      </c>
      <c r="K109" s="53">
        <f>+Inputs!M109</f>
        <v>107</v>
      </c>
      <c r="L109" s="53">
        <f t="shared" si="12"/>
        <v>22106221.583634805</v>
      </c>
      <c r="M109" s="37">
        <f t="shared" si="7"/>
        <v>-296377.54636519775</v>
      </c>
      <c r="N109" s="45">
        <f t="shared" si="8"/>
        <v>-1.3229605397362556E-2</v>
      </c>
      <c r="O109" s="12">
        <f t="shared" si="9"/>
        <v>1.3229605397362556E-2</v>
      </c>
      <c r="P109"/>
    </row>
    <row r="110" spans="1:16" x14ac:dyDescent="0.2">
      <c r="A110" s="3" t="str">
        <f t="shared" si="10"/>
        <v>202112</v>
      </c>
      <c r="B110" s="49">
        <f t="shared" si="11"/>
        <v>2021</v>
      </c>
      <c r="C110" s="52">
        <v>44561</v>
      </c>
      <c r="D110" s="53">
        <f>+Inputs!D110</f>
        <v>23318783.640000001</v>
      </c>
      <c r="E110" s="201">
        <v>579.06000000000006</v>
      </c>
      <c r="F110" s="201">
        <v>0</v>
      </c>
      <c r="G110" s="53">
        <f>+Inputs!G110</f>
        <v>31</v>
      </c>
      <c r="H110" s="105">
        <f t="shared" si="13"/>
        <v>0.66666666666666663</v>
      </c>
      <c r="I110" s="53">
        <f>+Inputs!I110</f>
        <v>336</v>
      </c>
      <c r="J110" s="53">
        <f>+Inputs!J110</f>
        <v>0</v>
      </c>
      <c r="K110" s="53">
        <f>+Inputs!M110</f>
        <v>108</v>
      </c>
      <c r="L110" s="53">
        <f t="shared" si="12"/>
        <v>23457454.165975165</v>
      </c>
      <c r="M110" s="37">
        <f t="shared" si="7"/>
        <v>138670.52597516403</v>
      </c>
      <c r="N110" s="45">
        <f t="shared" si="8"/>
        <v>5.9467306749780378E-3</v>
      </c>
      <c r="O110" s="12">
        <f t="shared" si="9"/>
        <v>5.9467306749780378E-3</v>
      </c>
      <c r="P110"/>
    </row>
    <row r="111" spans="1:16" x14ac:dyDescent="0.2">
      <c r="A111" s="3" t="str">
        <f t="shared" si="10"/>
        <v>20221</v>
      </c>
      <c r="B111" s="49">
        <f t="shared" si="11"/>
        <v>2022</v>
      </c>
      <c r="C111" s="52">
        <v>44592</v>
      </c>
      <c r="D111" s="53">
        <f>+Inputs!D111</f>
        <v>25489220.849999998</v>
      </c>
      <c r="E111" s="201">
        <v>703.65</v>
      </c>
      <c r="F111" s="201">
        <v>0</v>
      </c>
      <c r="G111" s="53">
        <f>+Inputs!G111</f>
        <v>31</v>
      </c>
      <c r="H111" s="105">
        <f t="shared" si="13"/>
        <v>0</v>
      </c>
      <c r="I111" s="53">
        <f>+Inputs!I111</f>
        <v>320</v>
      </c>
      <c r="J111" s="53">
        <f>+Inputs!J111</f>
        <v>0</v>
      </c>
      <c r="K111" s="53">
        <f>+Inputs!M111</f>
        <v>109</v>
      </c>
      <c r="L111" s="53">
        <f t="shared" si="12"/>
        <v>24370310.062907275</v>
      </c>
      <c r="M111" s="37">
        <f t="shared" si="7"/>
        <v>-1118910.787092723</v>
      </c>
      <c r="N111" s="45">
        <f t="shared" si="8"/>
        <v>-4.389741034758711E-2</v>
      </c>
      <c r="O111" s="12">
        <f t="shared" si="9"/>
        <v>4.389741034758711E-2</v>
      </c>
      <c r="P111"/>
    </row>
    <row r="112" spans="1:16" x14ac:dyDescent="0.2">
      <c r="A112" s="3" t="str">
        <f t="shared" si="10"/>
        <v>20222</v>
      </c>
      <c r="B112" s="49">
        <f t="shared" si="11"/>
        <v>2022</v>
      </c>
      <c r="C112" s="52">
        <v>44620</v>
      </c>
      <c r="D112" s="53">
        <f>+Inputs!D112</f>
        <v>23005811.43</v>
      </c>
      <c r="E112" s="201">
        <v>630.40499999999997</v>
      </c>
      <c r="F112" s="201">
        <v>0</v>
      </c>
      <c r="G112" s="53">
        <f>+Inputs!G112</f>
        <v>28</v>
      </c>
      <c r="H112" s="105">
        <f t="shared" si="13"/>
        <v>0</v>
      </c>
      <c r="I112" s="53">
        <f>+Inputs!I112</f>
        <v>304</v>
      </c>
      <c r="J112" s="53">
        <f>+Inputs!J112</f>
        <v>0</v>
      </c>
      <c r="K112" s="53">
        <f>+Inputs!M112</f>
        <v>110</v>
      </c>
      <c r="L112" s="53">
        <f t="shared" si="12"/>
        <v>22520712.974093579</v>
      </c>
      <c r="M112" s="37">
        <f t="shared" si="7"/>
        <v>-485098.45590642095</v>
      </c>
      <c r="N112" s="45">
        <f t="shared" si="8"/>
        <v>-2.1085909418254365E-2</v>
      </c>
      <c r="O112" s="12">
        <f t="shared" si="9"/>
        <v>2.1085909418254365E-2</v>
      </c>
      <c r="P112"/>
    </row>
    <row r="113" spans="1:16" x14ac:dyDescent="0.2">
      <c r="A113" s="3" t="str">
        <f t="shared" si="10"/>
        <v>20223</v>
      </c>
      <c r="B113" s="49">
        <f t="shared" si="11"/>
        <v>2022</v>
      </c>
      <c r="C113" s="52">
        <v>44651</v>
      </c>
      <c r="D113" s="53">
        <f>+Inputs!D113</f>
        <v>24103482.41</v>
      </c>
      <c r="E113" s="201">
        <v>547.82999999999993</v>
      </c>
      <c r="F113" s="201">
        <v>0</v>
      </c>
      <c r="G113" s="53">
        <f>+Inputs!G113</f>
        <v>31</v>
      </c>
      <c r="H113" s="105">
        <f t="shared" si="13"/>
        <v>0.33333333333333331</v>
      </c>
      <c r="I113" s="53">
        <f>+Inputs!I113</f>
        <v>368</v>
      </c>
      <c r="J113" s="53">
        <f>+Inputs!J113</f>
        <v>0</v>
      </c>
      <c r="K113" s="53">
        <f>+Inputs!M113</f>
        <v>111</v>
      </c>
      <c r="L113" s="53">
        <f t="shared" si="12"/>
        <v>23851373.31320475</v>
      </c>
      <c r="M113" s="37">
        <f t="shared" si="7"/>
        <v>-252109.09679524973</v>
      </c>
      <c r="N113" s="45">
        <f t="shared" si="8"/>
        <v>-1.045944700051538E-2</v>
      </c>
      <c r="O113" s="12">
        <f t="shared" si="9"/>
        <v>1.045944700051538E-2</v>
      </c>
      <c r="P113"/>
    </row>
    <row r="114" spans="1:16" x14ac:dyDescent="0.2">
      <c r="A114" s="3" t="str">
        <f t="shared" si="10"/>
        <v>20224</v>
      </c>
      <c r="B114" s="49">
        <f t="shared" si="11"/>
        <v>2022</v>
      </c>
      <c r="C114" s="52">
        <v>44681</v>
      </c>
      <c r="D114" s="53">
        <f>+Inputs!D114</f>
        <v>21054165.982828289</v>
      </c>
      <c r="E114" s="201">
        <v>338.72500000000002</v>
      </c>
      <c r="F114" s="201">
        <v>0.71000000000000008</v>
      </c>
      <c r="G114" s="53">
        <f>+Inputs!G114</f>
        <v>30</v>
      </c>
      <c r="H114" s="105">
        <f t="shared" si="13"/>
        <v>1</v>
      </c>
      <c r="I114" s="53">
        <f>+Inputs!I114</f>
        <v>320</v>
      </c>
      <c r="J114" s="53">
        <f>+Inputs!J114</f>
        <v>0</v>
      </c>
      <c r="K114" s="53">
        <f>+Inputs!M114</f>
        <v>112</v>
      </c>
      <c r="L114" s="53">
        <f t="shared" si="12"/>
        <v>21365136.072945334</v>
      </c>
      <c r="M114" s="37">
        <f t="shared" si="7"/>
        <v>310970.09011704475</v>
      </c>
      <c r="N114" s="45">
        <f t="shared" si="8"/>
        <v>1.4770002780954181E-2</v>
      </c>
      <c r="O114" s="12">
        <f t="shared" si="9"/>
        <v>1.4770002780954181E-2</v>
      </c>
      <c r="P114"/>
    </row>
    <row r="115" spans="1:16" x14ac:dyDescent="0.2">
      <c r="A115" s="3" t="str">
        <f t="shared" si="10"/>
        <v>20225</v>
      </c>
      <c r="B115" s="49">
        <f t="shared" si="11"/>
        <v>2022</v>
      </c>
      <c r="C115" s="52">
        <v>44712</v>
      </c>
      <c r="D115" s="53">
        <f>+Inputs!D115</f>
        <v>21880073.671260841</v>
      </c>
      <c r="E115" s="201">
        <v>144.06</v>
      </c>
      <c r="F115" s="201">
        <v>23.914999999999999</v>
      </c>
      <c r="G115" s="53">
        <f>+Inputs!G115</f>
        <v>31</v>
      </c>
      <c r="H115" s="105">
        <f t="shared" si="13"/>
        <v>1</v>
      </c>
      <c r="I115" s="53">
        <f>+Inputs!I115</f>
        <v>336</v>
      </c>
      <c r="J115" s="53">
        <f>+Inputs!J115</f>
        <v>0</v>
      </c>
      <c r="K115" s="53">
        <f>+Inputs!M115</f>
        <v>113</v>
      </c>
      <c r="L115" s="53">
        <f t="shared" si="12"/>
        <v>21413939.527798936</v>
      </c>
      <c r="M115" s="37">
        <f t="shared" si="7"/>
        <v>-466134.14346190542</v>
      </c>
      <c r="N115" s="45">
        <f t="shared" si="8"/>
        <v>-2.1304048170284081E-2</v>
      </c>
      <c r="O115" s="12">
        <f t="shared" si="9"/>
        <v>2.1304048170284081E-2</v>
      </c>
      <c r="P115"/>
    </row>
    <row r="116" spans="1:16" x14ac:dyDescent="0.2">
      <c r="A116" s="3" t="str">
        <f t="shared" si="10"/>
        <v>20226</v>
      </c>
      <c r="B116" s="49">
        <f t="shared" si="11"/>
        <v>2022</v>
      </c>
      <c r="C116" s="52">
        <v>44742</v>
      </c>
      <c r="D116" s="53">
        <f>+Inputs!D116</f>
        <v>22588251.5</v>
      </c>
      <c r="E116" s="201">
        <v>21.37</v>
      </c>
      <c r="F116" s="201">
        <v>69.710000000000008</v>
      </c>
      <c r="G116" s="53">
        <f>+Inputs!G116</f>
        <v>30</v>
      </c>
      <c r="H116" s="105">
        <f t="shared" si="13"/>
        <v>0.66666666666666663</v>
      </c>
      <c r="I116" s="53">
        <f>+Inputs!I116</f>
        <v>352</v>
      </c>
      <c r="J116" s="53">
        <f>+Inputs!J116</f>
        <v>0</v>
      </c>
      <c r="K116" s="53">
        <f>+Inputs!M116</f>
        <v>114</v>
      </c>
      <c r="L116" s="53">
        <f t="shared" si="12"/>
        <v>21767607.964969937</v>
      </c>
      <c r="M116" s="37">
        <f t="shared" si="7"/>
        <v>-820643.53503006324</v>
      </c>
      <c r="N116" s="45">
        <f t="shared" si="8"/>
        <v>-3.6330547100118099E-2</v>
      </c>
      <c r="O116" s="12">
        <f t="shared" si="9"/>
        <v>3.6330547100118099E-2</v>
      </c>
      <c r="P116"/>
    </row>
    <row r="117" spans="1:16" x14ac:dyDescent="0.2">
      <c r="A117" s="3" t="str">
        <f t="shared" si="10"/>
        <v>20227</v>
      </c>
      <c r="B117" s="49">
        <f t="shared" si="11"/>
        <v>2022</v>
      </c>
      <c r="C117" s="52">
        <v>44773</v>
      </c>
      <c r="D117" s="53">
        <f>+Inputs!D117</f>
        <v>24257008.129999999</v>
      </c>
      <c r="E117" s="201">
        <v>1.24</v>
      </c>
      <c r="F117" s="201">
        <v>140.78500000000003</v>
      </c>
      <c r="G117" s="53">
        <f>+Inputs!G117</f>
        <v>31</v>
      </c>
      <c r="H117" s="105">
        <f t="shared" si="13"/>
        <v>0</v>
      </c>
      <c r="I117" s="53">
        <f>+Inputs!I117</f>
        <v>320</v>
      </c>
      <c r="J117" s="53">
        <f>+Inputs!J117</f>
        <v>0</v>
      </c>
      <c r="K117" s="53">
        <f>+Inputs!M117</f>
        <v>115</v>
      </c>
      <c r="L117" s="53">
        <f t="shared" si="12"/>
        <v>23820036.842541885</v>
      </c>
      <c r="M117" s="37">
        <f t="shared" si="7"/>
        <v>-436971.28745811433</v>
      </c>
      <c r="N117" s="45">
        <f t="shared" si="8"/>
        <v>-1.8014228511457994E-2</v>
      </c>
      <c r="O117" s="12">
        <f t="shared" si="9"/>
        <v>1.8014228511457994E-2</v>
      </c>
      <c r="P117"/>
    </row>
    <row r="118" spans="1:16" x14ac:dyDescent="0.2">
      <c r="A118" s="3" t="str">
        <f t="shared" si="10"/>
        <v>20228</v>
      </c>
      <c r="B118" s="49">
        <f t="shared" si="11"/>
        <v>2022</v>
      </c>
      <c r="C118" s="52">
        <v>44804</v>
      </c>
      <c r="D118" s="53">
        <f>+Inputs!D118</f>
        <v>24568812.140000001</v>
      </c>
      <c r="E118" s="201">
        <v>3.5549999999999997</v>
      </c>
      <c r="F118" s="201">
        <v>122.37</v>
      </c>
      <c r="G118" s="53">
        <f>+Inputs!G118</f>
        <v>31</v>
      </c>
      <c r="H118" s="105">
        <f t="shared" si="13"/>
        <v>0</v>
      </c>
      <c r="I118" s="53">
        <f>+Inputs!I118</f>
        <v>368</v>
      </c>
      <c r="J118" s="53">
        <f>+Inputs!J118</f>
        <v>0</v>
      </c>
      <c r="K118" s="53">
        <f>+Inputs!M118</f>
        <v>116</v>
      </c>
      <c r="L118" s="53">
        <f t="shared" si="12"/>
        <v>23930367.376587149</v>
      </c>
      <c r="M118" s="37">
        <f t="shared" si="7"/>
        <v>-638444.76341285184</v>
      </c>
      <c r="N118" s="45">
        <f t="shared" si="8"/>
        <v>-2.598598417273143E-2</v>
      </c>
      <c r="O118" s="12">
        <f t="shared" si="9"/>
        <v>2.598598417273143E-2</v>
      </c>
      <c r="P118"/>
    </row>
    <row r="119" spans="1:16" x14ac:dyDescent="0.2">
      <c r="A119" s="3" t="str">
        <f t="shared" si="10"/>
        <v>20229</v>
      </c>
      <c r="B119" s="49">
        <f t="shared" si="11"/>
        <v>2022</v>
      </c>
      <c r="C119" s="52">
        <v>44834</v>
      </c>
      <c r="D119" s="53">
        <f>+Inputs!D119</f>
        <v>21763225.319999997</v>
      </c>
      <c r="E119" s="201">
        <v>44.225000000000009</v>
      </c>
      <c r="F119" s="201">
        <v>50.904999999999987</v>
      </c>
      <c r="G119" s="53">
        <f>+Inputs!G119</f>
        <v>30</v>
      </c>
      <c r="H119" s="105">
        <f t="shared" si="13"/>
        <v>0.33333333333333331</v>
      </c>
      <c r="I119" s="53">
        <f>+Inputs!I119</f>
        <v>336</v>
      </c>
      <c r="J119" s="53">
        <f>+Inputs!J119</f>
        <v>0</v>
      </c>
      <c r="K119" s="53">
        <f>+Inputs!M119</f>
        <v>117</v>
      </c>
      <c r="L119" s="53">
        <f t="shared" si="12"/>
        <v>21484282.779479567</v>
      </c>
      <c r="M119" s="37">
        <f t="shared" si="7"/>
        <v>-278942.54052042961</v>
      </c>
      <c r="N119" s="45">
        <f t="shared" si="8"/>
        <v>-1.2817150786197423E-2</v>
      </c>
      <c r="O119" s="12">
        <f t="shared" si="9"/>
        <v>1.2817150786197423E-2</v>
      </c>
      <c r="P119"/>
    </row>
    <row r="120" spans="1:16" x14ac:dyDescent="0.2">
      <c r="A120" s="3" t="str">
        <f t="shared" si="10"/>
        <v>202210</v>
      </c>
      <c r="B120" s="49">
        <f t="shared" si="11"/>
        <v>2022</v>
      </c>
      <c r="C120" s="52">
        <v>44865</v>
      </c>
      <c r="D120" s="53">
        <f>+Inputs!D120</f>
        <v>21332534.440000001</v>
      </c>
      <c r="E120" s="201">
        <v>222.22000000000003</v>
      </c>
      <c r="F120" s="201">
        <v>3.3</v>
      </c>
      <c r="G120" s="53">
        <f>+Inputs!G120</f>
        <v>31</v>
      </c>
      <c r="H120" s="105">
        <f t="shared" si="13"/>
        <v>1</v>
      </c>
      <c r="I120" s="53">
        <f>+Inputs!I120</f>
        <v>320</v>
      </c>
      <c r="J120" s="53">
        <f>+Inputs!J120</f>
        <v>0</v>
      </c>
      <c r="K120" s="53">
        <f>+Inputs!M120</f>
        <v>118</v>
      </c>
      <c r="L120" s="53">
        <f t="shared" si="12"/>
        <v>21262657.215278339</v>
      </c>
      <c r="M120" s="37">
        <f t="shared" si="7"/>
        <v>-69877.2247216627</v>
      </c>
      <c r="N120" s="45">
        <f t="shared" si="8"/>
        <v>-3.2756175745643234E-3</v>
      </c>
      <c r="O120" s="12">
        <f t="shared" si="9"/>
        <v>3.2756175745643234E-3</v>
      </c>
      <c r="P120"/>
    </row>
    <row r="121" spans="1:16" x14ac:dyDescent="0.2">
      <c r="A121" s="3" t="str">
        <f t="shared" si="10"/>
        <v>202211</v>
      </c>
      <c r="B121" s="49">
        <f t="shared" si="11"/>
        <v>2022</v>
      </c>
      <c r="C121" s="52">
        <v>44895</v>
      </c>
      <c r="D121" s="53">
        <f>+Inputs!D121</f>
        <v>22267327.43</v>
      </c>
      <c r="E121" s="201">
        <v>420.84500000000008</v>
      </c>
      <c r="F121" s="201">
        <v>0.09</v>
      </c>
      <c r="G121" s="53">
        <f>+Inputs!G121</f>
        <v>30</v>
      </c>
      <c r="H121" s="105">
        <f t="shared" si="13"/>
        <v>1</v>
      </c>
      <c r="I121" s="53">
        <f>+Inputs!I121</f>
        <v>352</v>
      </c>
      <c r="J121" s="53">
        <f>+Inputs!J121</f>
        <v>0</v>
      </c>
      <c r="K121" s="53">
        <f>+Inputs!M121</f>
        <v>119</v>
      </c>
      <c r="L121" s="53">
        <f t="shared" si="12"/>
        <v>22287835.019874517</v>
      </c>
      <c r="M121" s="37">
        <f t="shared" si="7"/>
        <v>20507.589874517173</v>
      </c>
      <c r="N121" s="45">
        <f t="shared" si="8"/>
        <v>9.2097221541225492E-4</v>
      </c>
      <c r="O121" s="12">
        <f t="shared" si="9"/>
        <v>9.2097221541225492E-4</v>
      </c>
      <c r="P121"/>
    </row>
    <row r="122" spans="1:16" x14ac:dyDescent="0.2">
      <c r="A122" s="3" t="str">
        <f t="shared" si="10"/>
        <v>202212</v>
      </c>
      <c r="B122" s="49">
        <f t="shared" si="11"/>
        <v>2022</v>
      </c>
      <c r="C122" s="52">
        <v>44926</v>
      </c>
      <c r="D122" s="53">
        <f>+Inputs!D122</f>
        <v>23648226.640000001</v>
      </c>
      <c r="E122" s="201">
        <v>579.06000000000006</v>
      </c>
      <c r="F122" s="201">
        <v>0</v>
      </c>
      <c r="G122" s="53">
        <f>+Inputs!G122</f>
        <v>31</v>
      </c>
      <c r="H122" s="105">
        <f t="shared" si="13"/>
        <v>0.66666666666666663</v>
      </c>
      <c r="I122" s="53">
        <f>+Inputs!I122</f>
        <v>320</v>
      </c>
      <c r="J122" s="53">
        <f>+Inputs!J122</f>
        <v>0</v>
      </c>
      <c r="K122" s="53">
        <f>+Inputs!M122</f>
        <v>120</v>
      </c>
      <c r="L122" s="53">
        <f t="shared" si="12"/>
        <v>23461765.615350507</v>
      </c>
      <c r="M122" s="37">
        <f t="shared" si="7"/>
        <v>-186461.0246494934</v>
      </c>
      <c r="N122" s="45">
        <f t="shared" si="8"/>
        <v>-7.8847783171234614E-3</v>
      </c>
      <c r="O122" s="12">
        <f t="shared" si="9"/>
        <v>7.8847783171234614E-3</v>
      </c>
      <c r="P122"/>
    </row>
    <row r="123" spans="1:16" x14ac:dyDescent="0.2">
      <c r="A123" s="3" t="str">
        <f t="shared" si="10"/>
        <v>20231</v>
      </c>
      <c r="B123" s="49">
        <f t="shared" si="11"/>
        <v>2023</v>
      </c>
      <c r="C123" s="52">
        <v>44957</v>
      </c>
      <c r="D123" s="201">
        <f>+Inputs!D123</f>
        <v>24583662.5</v>
      </c>
      <c r="E123" s="201">
        <v>703.65</v>
      </c>
      <c r="F123" s="201">
        <v>0</v>
      </c>
      <c r="G123" s="53">
        <f>+Inputs!G123</f>
        <v>31</v>
      </c>
      <c r="H123" s="105">
        <f t="shared" si="13"/>
        <v>0</v>
      </c>
      <c r="I123" s="53">
        <f>+Inputs!I123</f>
        <v>336</v>
      </c>
      <c r="J123" s="53">
        <f>+Inputs!J123</f>
        <v>0</v>
      </c>
      <c r="K123" s="201">
        <f>+Inputs!M123</f>
        <v>121</v>
      </c>
      <c r="L123" s="53">
        <f t="shared" si="12"/>
        <v>24729225.486011352</v>
      </c>
      <c r="M123" s="37"/>
      <c r="O123" s="5">
        <f>AVERAGE(O3:O122)</f>
        <v>2.568231554510109E-2</v>
      </c>
      <c r="P123" t="s">
        <v>72</v>
      </c>
    </row>
    <row r="124" spans="1:16" x14ac:dyDescent="0.2">
      <c r="A124" s="3" t="str">
        <f t="shared" si="10"/>
        <v>20232</v>
      </c>
      <c r="B124" s="49">
        <f t="shared" si="11"/>
        <v>2023</v>
      </c>
      <c r="C124" s="52">
        <v>44985</v>
      </c>
      <c r="D124" s="201">
        <f>+Inputs!D124</f>
        <v>22002707.612050563</v>
      </c>
      <c r="E124" s="201">
        <v>630.40499999999997</v>
      </c>
      <c r="F124" s="201">
        <v>0</v>
      </c>
      <c r="G124" s="53">
        <f>+Inputs!G124</f>
        <v>28</v>
      </c>
      <c r="H124" s="105">
        <f t="shared" si="13"/>
        <v>0</v>
      </c>
      <c r="I124" s="53">
        <f>+Inputs!I124</f>
        <v>304</v>
      </c>
      <c r="J124" s="53">
        <f>+Inputs!J124</f>
        <v>0</v>
      </c>
      <c r="K124" s="201">
        <f>+Inputs!M124</f>
        <v>122</v>
      </c>
      <c r="L124" s="53">
        <f t="shared" si="12"/>
        <v>22702326.410333291</v>
      </c>
      <c r="M124" s="37"/>
      <c r="P124"/>
    </row>
    <row r="125" spans="1:16" x14ac:dyDescent="0.2">
      <c r="A125" s="3" t="str">
        <f t="shared" si="10"/>
        <v>20233</v>
      </c>
      <c r="B125" s="49">
        <f t="shared" si="11"/>
        <v>2023</v>
      </c>
      <c r="C125" s="52">
        <v>45016</v>
      </c>
      <c r="D125" s="201">
        <f>+Inputs!D125</f>
        <v>23768845.469999999</v>
      </c>
      <c r="E125" s="201">
        <v>547.82999999999993</v>
      </c>
      <c r="F125" s="201">
        <v>0</v>
      </c>
      <c r="G125" s="53">
        <f>+Inputs!G125</f>
        <v>31</v>
      </c>
      <c r="H125" s="105">
        <f t="shared" si="13"/>
        <v>0.33333333333333331</v>
      </c>
      <c r="I125" s="53">
        <f>+Inputs!I125</f>
        <v>368</v>
      </c>
      <c r="J125" s="53">
        <f>+Inputs!J125</f>
        <v>0</v>
      </c>
      <c r="K125" s="201">
        <f>+Inputs!M125</f>
        <v>123</v>
      </c>
      <c r="L125" s="53">
        <f t="shared" si="12"/>
        <v>24032986.749444462</v>
      </c>
      <c r="M125" s="37"/>
      <c r="P125"/>
    </row>
    <row r="126" spans="1:16" x14ac:dyDescent="0.2">
      <c r="A126" s="3" t="str">
        <f t="shared" si="10"/>
        <v>20234</v>
      </c>
      <c r="B126" s="49">
        <f t="shared" si="11"/>
        <v>2023</v>
      </c>
      <c r="C126" s="52">
        <v>45046</v>
      </c>
      <c r="D126" s="201">
        <f>+Inputs!D126</f>
        <v>21333713.989999998</v>
      </c>
      <c r="E126" s="201">
        <v>338.72500000000002</v>
      </c>
      <c r="F126" s="201">
        <v>0.71000000000000008</v>
      </c>
      <c r="G126" s="53">
        <f>+Inputs!G126</f>
        <v>30</v>
      </c>
      <c r="H126" s="105">
        <f t="shared" si="13"/>
        <v>1</v>
      </c>
      <c r="I126" s="53">
        <f>+Inputs!I126</f>
        <v>304</v>
      </c>
      <c r="J126" s="53">
        <f>+Inputs!J126</f>
        <v>0</v>
      </c>
      <c r="K126" s="201">
        <f>+Inputs!M126</f>
        <v>124</v>
      </c>
      <c r="L126" s="53">
        <f t="shared" si="12"/>
        <v>21369447.52232068</v>
      </c>
      <c r="M126" s="37"/>
      <c r="P126"/>
    </row>
    <row r="127" spans="1:16" x14ac:dyDescent="0.2">
      <c r="A127" s="3" t="str">
        <f t="shared" si="10"/>
        <v>20235</v>
      </c>
      <c r="B127" s="49">
        <f t="shared" si="11"/>
        <v>2023</v>
      </c>
      <c r="C127" s="52">
        <v>45077</v>
      </c>
      <c r="D127" s="201">
        <f>+Inputs!D127</f>
        <v>21691788.009999998</v>
      </c>
      <c r="E127" s="201">
        <v>144.06</v>
      </c>
      <c r="F127" s="201">
        <v>23.914999999999999</v>
      </c>
      <c r="G127" s="53">
        <f>+Inputs!G127</f>
        <v>31</v>
      </c>
      <c r="H127" s="105">
        <f t="shared" si="13"/>
        <v>1</v>
      </c>
      <c r="I127" s="53">
        <f>+Inputs!I127</f>
        <v>352</v>
      </c>
      <c r="J127" s="53">
        <f>+Inputs!J127</f>
        <v>0</v>
      </c>
      <c r="K127" s="201">
        <f>+Inputs!M127</f>
        <v>125</v>
      </c>
      <c r="L127" s="53">
        <f t="shared" si="12"/>
        <v>21772854.950903013</v>
      </c>
      <c r="M127" s="37"/>
      <c r="P127"/>
    </row>
    <row r="128" spans="1:16" x14ac:dyDescent="0.2">
      <c r="A128" s="3" t="str">
        <f t="shared" si="10"/>
        <v>20236</v>
      </c>
      <c r="B128" s="49">
        <f t="shared" si="11"/>
        <v>2023</v>
      </c>
      <c r="C128" s="52">
        <v>45107</v>
      </c>
      <c r="D128" s="201">
        <f>+Inputs!D128</f>
        <v>22454588.449999999</v>
      </c>
      <c r="E128" s="201">
        <v>21.37</v>
      </c>
      <c r="F128" s="201">
        <v>69.710000000000008</v>
      </c>
      <c r="G128" s="53">
        <f>+Inputs!G128</f>
        <v>30</v>
      </c>
      <c r="H128" s="105">
        <f t="shared" si="13"/>
        <v>0.66666666666666663</v>
      </c>
      <c r="I128" s="53">
        <f>+Inputs!I128</f>
        <v>352</v>
      </c>
      <c r="J128" s="53">
        <f>+Inputs!J128</f>
        <v>0</v>
      </c>
      <c r="K128" s="201">
        <f>+Inputs!M128</f>
        <v>126</v>
      </c>
      <c r="L128" s="53">
        <f t="shared" si="12"/>
        <v>21949221.401209649</v>
      </c>
      <c r="M128" s="37"/>
      <c r="P128"/>
    </row>
    <row r="129" spans="1:16" x14ac:dyDescent="0.2">
      <c r="A129" s="3" t="str">
        <f t="shared" si="10"/>
        <v>20237</v>
      </c>
      <c r="B129" s="49">
        <f t="shared" si="11"/>
        <v>2023</v>
      </c>
      <c r="C129" s="52">
        <v>45138</v>
      </c>
      <c r="D129" s="201">
        <f>+Inputs!D129</f>
        <v>24590952.84</v>
      </c>
      <c r="E129" s="201">
        <v>1.24</v>
      </c>
      <c r="F129" s="201">
        <v>140.78500000000003</v>
      </c>
      <c r="G129" s="53">
        <f>+Inputs!G129</f>
        <v>31</v>
      </c>
      <c r="H129" s="105">
        <f t="shared" si="13"/>
        <v>0</v>
      </c>
      <c r="I129" s="53">
        <f>+Inputs!I129</f>
        <v>320</v>
      </c>
      <c r="J129" s="53">
        <f>+Inputs!J129</f>
        <v>0</v>
      </c>
      <c r="K129" s="201">
        <f>+Inputs!M129</f>
        <v>127</v>
      </c>
      <c r="L129" s="53">
        <f t="shared" si="12"/>
        <v>24001650.278781597</v>
      </c>
      <c r="M129" s="37"/>
      <c r="N129"/>
      <c r="O129"/>
      <c r="P129"/>
    </row>
    <row r="130" spans="1:16" x14ac:dyDescent="0.2">
      <c r="A130" s="3" t="str">
        <f t="shared" si="10"/>
        <v>20238</v>
      </c>
      <c r="B130" s="49">
        <f t="shared" si="11"/>
        <v>2023</v>
      </c>
      <c r="C130" s="52">
        <v>45169</v>
      </c>
      <c r="D130" s="201">
        <f>+Inputs!D130</f>
        <v>23090322.559999999</v>
      </c>
      <c r="E130" s="201">
        <v>3.5549999999999997</v>
      </c>
      <c r="F130" s="201">
        <v>122.37</v>
      </c>
      <c r="G130" s="53">
        <f>+Inputs!G130</f>
        <v>31</v>
      </c>
      <c r="H130" s="105">
        <f t="shared" si="13"/>
        <v>0</v>
      </c>
      <c r="I130" s="53">
        <f>+Inputs!I130</f>
        <v>368</v>
      </c>
      <c r="J130" s="53">
        <f>+Inputs!J130</f>
        <v>0</v>
      </c>
      <c r="K130" s="201">
        <f>+Inputs!M130</f>
        <v>128</v>
      </c>
      <c r="L130" s="53">
        <f t="shared" si="12"/>
        <v>24111980.812826861</v>
      </c>
      <c r="M130" s="37"/>
      <c r="N130"/>
      <c r="O130"/>
      <c r="P130"/>
    </row>
    <row r="131" spans="1:16" x14ac:dyDescent="0.2">
      <c r="A131" s="3" t="str">
        <f t="shared" si="10"/>
        <v>20239</v>
      </c>
      <c r="B131" s="49">
        <f t="shared" si="11"/>
        <v>2023</v>
      </c>
      <c r="C131" s="52">
        <v>45199</v>
      </c>
      <c r="D131" s="201">
        <f>+Inputs!D131</f>
        <v>21567772.719999999</v>
      </c>
      <c r="E131" s="201">
        <v>44.225000000000009</v>
      </c>
      <c r="F131" s="201">
        <v>50.904999999999987</v>
      </c>
      <c r="G131" s="53">
        <f>+Inputs!G131</f>
        <v>30</v>
      </c>
      <c r="H131" s="105">
        <f t="shared" si="13"/>
        <v>0.33333333333333331</v>
      </c>
      <c r="I131" s="53">
        <f>+Inputs!I131</f>
        <v>320</v>
      </c>
      <c r="J131" s="53">
        <f>+Inputs!J131</f>
        <v>0</v>
      </c>
      <c r="K131" s="201">
        <f>+Inputs!M131</f>
        <v>129</v>
      </c>
      <c r="L131" s="53">
        <f t="shared" si="12"/>
        <v>21488594.22885491</v>
      </c>
      <c r="M131" s="37"/>
      <c r="N131"/>
      <c r="O131"/>
      <c r="P131"/>
    </row>
    <row r="132" spans="1:16" x14ac:dyDescent="0.2">
      <c r="A132" s="3" t="str">
        <f t="shared" ref="A132:A146" si="14">YEAR(C132)&amp;MONTH(C132)</f>
        <v>202310</v>
      </c>
      <c r="B132" s="49">
        <f t="shared" ref="B132:B146" si="15">YEAR(C132)</f>
        <v>2023</v>
      </c>
      <c r="C132" s="52">
        <v>45230</v>
      </c>
      <c r="D132" s="53"/>
      <c r="E132" s="201">
        <v>222.22000000000003</v>
      </c>
      <c r="F132" s="201">
        <v>3.3</v>
      </c>
      <c r="G132" s="53">
        <f>+Inputs!G132</f>
        <v>31</v>
      </c>
      <c r="H132" s="105">
        <f t="shared" si="13"/>
        <v>1</v>
      </c>
      <c r="I132" s="53">
        <f>+Inputs!I132</f>
        <v>336</v>
      </c>
      <c r="J132" s="53">
        <f>+Inputs!J132</f>
        <v>0</v>
      </c>
      <c r="K132" s="201">
        <f>+Inputs!M132</f>
        <v>130</v>
      </c>
      <c r="L132" s="53">
        <f t="shared" ref="L132:L146" si="16">$R$18+$R$19*E132+$R$20*F132+$R$21*G132+$R$22*H132+$R$23*I132+J132*$R$24+K132*$R$25</f>
        <v>21621572.638382416</v>
      </c>
      <c r="M132" s="37"/>
      <c r="N132"/>
      <c r="O132"/>
      <c r="P132"/>
    </row>
    <row r="133" spans="1:16" x14ac:dyDescent="0.2">
      <c r="A133" s="3" t="str">
        <f t="shared" si="14"/>
        <v>202311</v>
      </c>
      <c r="B133" s="49">
        <f t="shared" si="15"/>
        <v>2023</v>
      </c>
      <c r="C133" s="52">
        <v>45260</v>
      </c>
      <c r="D133" s="53"/>
      <c r="E133" s="201">
        <v>420.84500000000008</v>
      </c>
      <c r="F133" s="201">
        <v>0.09</v>
      </c>
      <c r="G133" s="53">
        <f>+Inputs!G133</f>
        <v>30</v>
      </c>
      <c r="H133" s="105">
        <f t="shared" si="13"/>
        <v>1</v>
      </c>
      <c r="I133" s="53">
        <f>+Inputs!I133</f>
        <v>352</v>
      </c>
      <c r="J133" s="53">
        <f>+Inputs!J133</f>
        <v>0</v>
      </c>
      <c r="K133" s="201">
        <f>+Inputs!M133</f>
        <v>131</v>
      </c>
      <c r="L133" s="53">
        <f t="shared" si="16"/>
        <v>22469448.456114229</v>
      </c>
      <c r="M133" s="37"/>
      <c r="N133"/>
      <c r="O133"/>
      <c r="P133"/>
    </row>
    <row r="134" spans="1:16" x14ac:dyDescent="0.2">
      <c r="A134" s="3" t="str">
        <f t="shared" si="14"/>
        <v>202312</v>
      </c>
      <c r="B134" s="49">
        <f t="shared" si="15"/>
        <v>2023</v>
      </c>
      <c r="C134" s="52">
        <v>45291</v>
      </c>
      <c r="D134" s="53"/>
      <c r="E134" s="201">
        <v>579.06000000000006</v>
      </c>
      <c r="F134" s="201">
        <v>0</v>
      </c>
      <c r="G134" s="53">
        <f>+Inputs!G134</f>
        <v>31</v>
      </c>
      <c r="H134" s="105">
        <f t="shared" si="13"/>
        <v>0.66666666666666663</v>
      </c>
      <c r="I134" s="53">
        <f>+Inputs!I134</f>
        <v>304</v>
      </c>
      <c r="J134" s="53">
        <f>+Inputs!J134</f>
        <v>0</v>
      </c>
      <c r="K134" s="201">
        <f>+Inputs!M134</f>
        <v>132</v>
      </c>
      <c r="L134" s="53">
        <f t="shared" si="16"/>
        <v>23466077.064725854</v>
      </c>
      <c r="M134" s="37"/>
      <c r="N134"/>
      <c r="O134"/>
      <c r="P134"/>
    </row>
    <row r="135" spans="1:16" x14ac:dyDescent="0.2">
      <c r="A135" s="3" t="str">
        <f t="shared" si="14"/>
        <v>20241</v>
      </c>
      <c r="B135" s="49">
        <f t="shared" si="15"/>
        <v>2024</v>
      </c>
      <c r="C135" s="52">
        <v>45322</v>
      </c>
      <c r="D135" s="53"/>
      <c r="E135" s="201">
        <v>703.65</v>
      </c>
      <c r="F135" s="201">
        <v>0</v>
      </c>
      <c r="G135" s="53">
        <f>+Inputs!G135</f>
        <v>31</v>
      </c>
      <c r="H135" s="105">
        <f t="shared" si="13"/>
        <v>0</v>
      </c>
      <c r="I135" s="53">
        <f>+Inputs!I135</f>
        <v>352</v>
      </c>
      <c r="J135" s="53">
        <f>+Inputs!J135</f>
        <v>0</v>
      </c>
      <c r="K135" s="201">
        <f>+Inputs!M135</f>
        <v>133</v>
      </c>
      <c r="L135" s="53">
        <f t="shared" si="16"/>
        <v>25088140.909115434</v>
      </c>
      <c r="M135" s="37"/>
      <c r="N135"/>
      <c r="O135"/>
      <c r="P135"/>
    </row>
    <row r="136" spans="1:16" x14ac:dyDescent="0.2">
      <c r="A136" s="3" t="str">
        <f t="shared" si="14"/>
        <v>20242</v>
      </c>
      <c r="B136" s="49">
        <f t="shared" si="15"/>
        <v>2024</v>
      </c>
      <c r="C136" s="52">
        <v>45351</v>
      </c>
      <c r="D136" s="53"/>
      <c r="E136" s="201">
        <v>630.40499999999997</v>
      </c>
      <c r="F136" s="201">
        <v>0</v>
      </c>
      <c r="G136" s="53">
        <f>+Inputs!G136</f>
        <v>29</v>
      </c>
      <c r="H136" s="105">
        <f t="shared" si="13"/>
        <v>0</v>
      </c>
      <c r="I136" s="53">
        <f>+Inputs!I136</f>
        <v>320</v>
      </c>
      <c r="J136" s="53">
        <f>+Inputs!J136</f>
        <v>0</v>
      </c>
      <c r="K136" s="201">
        <f>+Inputs!M136</f>
        <v>134</v>
      </c>
      <c r="L136" s="53">
        <f t="shared" si="16"/>
        <v>23481809.861179031</v>
      </c>
      <c r="M136" s="37"/>
      <c r="N136"/>
      <c r="O136"/>
      <c r="P136"/>
    </row>
    <row r="137" spans="1:16" x14ac:dyDescent="0.2">
      <c r="A137" s="3" t="str">
        <f t="shared" si="14"/>
        <v>20243</v>
      </c>
      <c r="B137" s="49">
        <f t="shared" si="15"/>
        <v>2024</v>
      </c>
      <c r="C137" s="52">
        <v>45382</v>
      </c>
      <c r="D137" s="53"/>
      <c r="E137" s="201">
        <v>547.82999999999993</v>
      </c>
      <c r="F137" s="201">
        <v>0</v>
      </c>
      <c r="G137" s="53">
        <f>+Inputs!G137</f>
        <v>31</v>
      </c>
      <c r="H137" s="105">
        <f t="shared" si="13"/>
        <v>0.33333333333333331</v>
      </c>
      <c r="I137" s="53">
        <f>+Inputs!I137</f>
        <v>320</v>
      </c>
      <c r="J137" s="53">
        <f>+Inputs!J137</f>
        <v>0</v>
      </c>
      <c r="K137" s="201">
        <f>+Inputs!M137</f>
        <v>135</v>
      </c>
      <c r="L137" s="53">
        <f t="shared" si="16"/>
        <v>23682694.22509107</v>
      </c>
      <c r="M137" s="37"/>
      <c r="N137"/>
      <c r="O137"/>
      <c r="P137"/>
    </row>
    <row r="138" spans="1:16" x14ac:dyDescent="0.2">
      <c r="A138" s="3" t="str">
        <f t="shared" si="14"/>
        <v>20244</v>
      </c>
      <c r="B138" s="49">
        <f t="shared" si="15"/>
        <v>2024</v>
      </c>
      <c r="C138" s="52">
        <v>45412</v>
      </c>
      <c r="D138" s="53"/>
      <c r="E138" s="201">
        <v>338.72500000000002</v>
      </c>
      <c r="F138" s="201">
        <v>0.71000000000000008</v>
      </c>
      <c r="G138" s="53">
        <f>+Inputs!G138</f>
        <v>30</v>
      </c>
      <c r="H138" s="105">
        <f t="shared" si="13"/>
        <v>1</v>
      </c>
      <c r="I138" s="53">
        <f>+Inputs!I138</f>
        <v>352</v>
      </c>
      <c r="J138" s="53">
        <f>+Inputs!J138</f>
        <v>0</v>
      </c>
      <c r="K138" s="201">
        <f>+Inputs!M138</f>
        <v>136</v>
      </c>
      <c r="L138" s="53">
        <f t="shared" si="16"/>
        <v>22082966.919153493</v>
      </c>
      <c r="M138" s="37"/>
      <c r="N138"/>
      <c r="O138"/>
      <c r="P138"/>
    </row>
    <row r="139" spans="1:16" x14ac:dyDescent="0.2">
      <c r="A139" s="3" t="str">
        <f t="shared" si="14"/>
        <v>20245</v>
      </c>
      <c r="B139" s="49">
        <f t="shared" si="15"/>
        <v>2024</v>
      </c>
      <c r="C139" s="52">
        <v>45443</v>
      </c>
      <c r="D139" s="53"/>
      <c r="E139" s="201">
        <v>144.06</v>
      </c>
      <c r="F139" s="201">
        <v>23.914999999999999</v>
      </c>
      <c r="G139" s="53">
        <f>+Inputs!G139</f>
        <v>31</v>
      </c>
      <c r="H139" s="105">
        <f t="shared" si="13"/>
        <v>1</v>
      </c>
      <c r="I139" s="53">
        <f>+Inputs!I139</f>
        <v>352</v>
      </c>
      <c r="J139" s="53">
        <f>+Inputs!J139</f>
        <v>0</v>
      </c>
      <c r="K139" s="201">
        <f>+Inputs!M139</f>
        <v>137</v>
      </c>
      <c r="L139" s="53">
        <f t="shared" si="16"/>
        <v>21954468.387142725</v>
      </c>
      <c r="M139" s="37"/>
      <c r="N139"/>
      <c r="O139"/>
      <c r="P139"/>
    </row>
    <row r="140" spans="1:16" x14ac:dyDescent="0.2">
      <c r="A140" s="3" t="str">
        <f t="shared" si="14"/>
        <v>20246</v>
      </c>
      <c r="B140" s="49">
        <f t="shared" si="15"/>
        <v>2024</v>
      </c>
      <c r="C140" s="52">
        <v>45473</v>
      </c>
      <c r="D140" s="53"/>
      <c r="E140" s="201">
        <v>21.37</v>
      </c>
      <c r="F140" s="201">
        <v>69.710000000000008</v>
      </c>
      <c r="G140" s="53">
        <f>+Inputs!G140</f>
        <v>30</v>
      </c>
      <c r="H140" s="105">
        <f t="shared" si="13"/>
        <v>0.66666666666666663</v>
      </c>
      <c r="I140" s="53">
        <f>+Inputs!I140</f>
        <v>320</v>
      </c>
      <c r="J140" s="53">
        <f>+Inputs!J140</f>
        <v>0</v>
      </c>
      <c r="K140" s="201">
        <f>+Inputs!M140</f>
        <v>138</v>
      </c>
      <c r="L140" s="53">
        <f t="shared" si="16"/>
        <v>21776230.863720629</v>
      </c>
      <c r="M140" s="37"/>
      <c r="N140"/>
      <c r="O140"/>
      <c r="P140"/>
    </row>
    <row r="141" spans="1:16" x14ac:dyDescent="0.2">
      <c r="A141" s="3" t="str">
        <f t="shared" si="14"/>
        <v>20247</v>
      </c>
      <c r="B141" s="49">
        <f t="shared" si="15"/>
        <v>2024</v>
      </c>
      <c r="C141" s="52">
        <v>45504</v>
      </c>
      <c r="D141" s="53"/>
      <c r="E141" s="201">
        <v>1.24</v>
      </c>
      <c r="F141" s="201">
        <v>140.78500000000003</v>
      </c>
      <c r="G141" s="53">
        <f>+Inputs!G141</f>
        <v>31</v>
      </c>
      <c r="H141" s="105">
        <f t="shared" si="13"/>
        <v>0</v>
      </c>
      <c r="I141" s="53">
        <f>+Inputs!I141</f>
        <v>352</v>
      </c>
      <c r="J141" s="53">
        <f>+Inputs!J141</f>
        <v>0</v>
      </c>
      <c r="K141" s="201">
        <f>+Inputs!M141</f>
        <v>139</v>
      </c>
      <c r="L141" s="53">
        <f t="shared" si="16"/>
        <v>24537867.688750044</v>
      </c>
      <c r="M141" s="37"/>
      <c r="N141"/>
      <c r="O141"/>
      <c r="P141"/>
    </row>
    <row r="142" spans="1:16" x14ac:dyDescent="0.2">
      <c r="A142" s="3" t="str">
        <f t="shared" si="14"/>
        <v>20248</v>
      </c>
      <c r="B142" s="49">
        <f t="shared" si="15"/>
        <v>2024</v>
      </c>
      <c r="C142" s="52">
        <v>45535</v>
      </c>
      <c r="D142" s="53"/>
      <c r="E142" s="201">
        <v>3.5549999999999997</v>
      </c>
      <c r="F142" s="201">
        <v>122.37</v>
      </c>
      <c r="G142" s="53">
        <f>+Inputs!G142</f>
        <v>31</v>
      </c>
      <c r="H142" s="105">
        <f t="shared" si="13"/>
        <v>0</v>
      </c>
      <c r="I142" s="53">
        <f>+Inputs!I142</f>
        <v>352</v>
      </c>
      <c r="J142" s="53">
        <f>+Inputs!J142</f>
        <v>0</v>
      </c>
      <c r="K142" s="201">
        <f>+Inputs!M142</f>
        <v>140</v>
      </c>
      <c r="L142" s="53">
        <f t="shared" si="16"/>
        <v>24116292.262202203</v>
      </c>
      <c r="M142" s="37"/>
      <c r="N142"/>
      <c r="O142"/>
      <c r="P142"/>
    </row>
    <row r="143" spans="1:16" x14ac:dyDescent="0.2">
      <c r="A143" s="3" t="str">
        <f t="shared" si="14"/>
        <v>20249</v>
      </c>
      <c r="B143" s="49">
        <f t="shared" si="15"/>
        <v>2024</v>
      </c>
      <c r="C143" s="52">
        <v>45565</v>
      </c>
      <c r="D143" s="53"/>
      <c r="E143" s="201">
        <v>44.225000000000009</v>
      </c>
      <c r="F143" s="201">
        <v>50.904999999999987</v>
      </c>
      <c r="G143" s="53">
        <f>+Inputs!G143</f>
        <v>30</v>
      </c>
      <c r="H143" s="105">
        <f t="shared" si="13"/>
        <v>0.33333333333333331</v>
      </c>
      <c r="I143" s="53">
        <f>+Inputs!I143</f>
        <v>320</v>
      </c>
      <c r="J143" s="53">
        <f>+Inputs!J143</f>
        <v>0</v>
      </c>
      <c r="K143" s="201">
        <f>+Inputs!M143</f>
        <v>141</v>
      </c>
      <c r="L143" s="53">
        <f t="shared" si="16"/>
        <v>21670207.665094621</v>
      </c>
      <c r="M143" s="37"/>
      <c r="N143"/>
      <c r="O143"/>
      <c r="P143"/>
    </row>
    <row r="144" spans="1:16" x14ac:dyDescent="0.2">
      <c r="A144" s="3" t="str">
        <f t="shared" si="14"/>
        <v>202410</v>
      </c>
      <c r="B144" s="49">
        <f t="shared" si="15"/>
        <v>2024</v>
      </c>
      <c r="C144" s="52">
        <v>45596</v>
      </c>
      <c r="D144" s="53"/>
      <c r="E144" s="201">
        <v>222.22000000000003</v>
      </c>
      <c r="F144" s="201">
        <v>3.3</v>
      </c>
      <c r="G144" s="53">
        <f>+Inputs!G144</f>
        <v>31</v>
      </c>
      <c r="H144" s="105">
        <f t="shared" ref="H144:H146" si="17">+H132</f>
        <v>1</v>
      </c>
      <c r="I144" s="53">
        <f>+Inputs!I144</f>
        <v>352</v>
      </c>
      <c r="J144" s="53">
        <f>+Inputs!J144</f>
        <v>0</v>
      </c>
      <c r="K144" s="201">
        <f>+Inputs!M144</f>
        <v>142</v>
      </c>
      <c r="L144" s="53">
        <f t="shared" si="16"/>
        <v>21980488.061486498</v>
      </c>
      <c r="M144" s="37"/>
      <c r="N144"/>
      <c r="O144"/>
      <c r="P144"/>
    </row>
    <row r="145" spans="1:16" x14ac:dyDescent="0.2">
      <c r="A145" s="3" t="str">
        <f t="shared" si="14"/>
        <v>202411</v>
      </c>
      <c r="B145" s="49">
        <f t="shared" si="15"/>
        <v>2024</v>
      </c>
      <c r="C145" s="52">
        <v>45626</v>
      </c>
      <c r="D145" s="53"/>
      <c r="E145" s="201">
        <v>420.84500000000008</v>
      </c>
      <c r="F145" s="201">
        <v>0.09</v>
      </c>
      <c r="G145" s="53">
        <f>+Inputs!G145</f>
        <v>30</v>
      </c>
      <c r="H145" s="105">
        <f t="shared" si="17"/>
        <v>1</v>
      </c>
      <c r="I145" s="53">
        <f>+Inputs!I145</f>
        <v>336</v>
      </c>
      <c r="J145" s="53">
        <f>+Inputs!J145</f>
        <v>0</v>
      </c>
      <c r="K145" s="201">
        <f>+Inputs!M145</f>
        <v>143</v>
      </c>
      <c r="L145" s="53">
        <f t="shared" si="16"/>
        <v>22473759.905489575</v>
      </c>
      <c r="M145" s="37"/>
      <c r="P145"/>
    </row>
    <row r="146" spans="1:16" x14ac:dyDescent="0.2">
      <c r="A146" s="3" t="str">
        <f t="shared" si="14"/>
        <v>202412</v>
      </c>
      <c r="B146" s="49">
        <f t="shared" si="15"/>
        <v>2024</v>
      </c>
      <c r="C146" s="52">
        <v>45657</v>
      </c>
      <c r="D146" s="53"/>
      <c r="E146" s="201">
        <v>579.06000000000006</v>
      </c>
      <c r="F146" s="201">
        <v>0</v>
      </c>
      <c r="G146" s="53">
        <f>+Inputs!G146</f>
        <v>31</v>
      </c>
      <c r="H146" s="105">
        <f t="shared" si="17"/>
        <v>0.66666666666666663</v>
      </c>
      <c r="I146" s="53">
        <f>+Inputs!I146</f>
        <v>320</v>
      </c>
      <c r="J146" s="53">
        <f>+Inputs!J146</f>
        <v>0</v>
      </c>
      <c r="K146" s="201">
        <f>+Inputs!M146</f>
        <v>144</v>
      </c>
      <c r="L146" s="53">
        <f t="shared" si="16"/>
        <v>23824992.487829931</v>
      </c>
      <c r="M146" s="37"/>
      <c r="P146"/>
    </row>
    <row r="147" spans="1:16" x14ac:dyDescent="0.2">
      <c r="C147" s="38"/>
      <c r="G147" s="10"/>
      <c r="H147" s="106"/>
      <c r="J147" s="10"/>
      <c r="P147"/>
    </row>
    <row r="148" spans="1:16" x14ac:dyDescent="0.2">
      <c r="C148" s="38"/>
      <c r="G148" s="10"/>
      <c r="H148" s="106"/>
      <c r="J148" s="10"/>
      <c r="P148"/>
    </row>
    <row r="149" spans="1:16" x14ac:dyDescent="0.2">
      <c r="C149" s="38"/>
      <c r="E149" s="93"/>
      <c r="F149" s="67" t="s">
        <v>107</v>
      </c>
      <c r="G149" s="10"/>
      <c r="H149" s="106"/>
      <c r="J149" s="10"/>
      <c r="L149" s="67" t="s">
        <v>157</v>
      </c>
      <c r="M149" s="67" t="s">
        <v>158</v>
      </c>
      <c r="N149" s="67" t="s">
        <v>159</v>
      </c>
      <c r="P149"/>
    </row>
    <row r="150" spans="1:16" x14ac:dyDescent="0.2">
      <c r="C150" s="38"/>
      <c r="E150" s="14"/>
      <c r="F150" s="66" t="s">
        <v>74</v>
      </c>
      <c r="G150" s="10"/>
      <c r="H150" s="106"/>
      <c r="J150" s="10"/>
      <c r="L150" s="37">
        <f>SUM(L2:L146)</f>
        <v>3167789692.8852682</v>
      </c>
      <c r="P150"/>
    </row>
    <row r="151" spans="1:16" x14ac:dyDescent="0.2">
      <c r="C151" s="38"/>
      <c r="G151" s="10"/>
      <c r="H151" s="106"/>
      <c r="J151" s="10"/>
      <c r="P151"/>
    </row>
    <row r="152" spans="1:16" x14ac:dyDescent="0.2">
      <c r="C152" s="29">
        <v>2013</v>
      </c>
      <c r="D152" s="6">
        <f t="shared" ref="D152:D161" si="18">SUMIF(B:B,C152,D:D)</f>
        <v>253794532.28605214</v>
      </c>
      <c r="L152" s="6">
        <f>SUM(L3:L14)</f>
        <v>252099075.63800725</v>
      </c>
      <c r="M152" s="40">
        <f>+'Purchased Power Model'!L152</f>
        <v>251057418.86621657</v>
      </c>
      <c r="N152" s="120">
        <f>+L152/M152</f>
        <v>1.0041490778344446</v>
      </c>
      <c r="O152" s="5"/>
      <c r="P152"/>
    </row>
    <row r="153" spans="1:16" x14ac:dyDescent="0.2">
      <c r="C153" s="29">
        <v>2014</v>
      </c>
      <c r="D153" s="6">
        <f t="shared" si="18"/>
        <v>256463675.28359121</v>
      </c>
      <c r="L153" s="6">
        <f>SUM(L15:L26)</f>
        <v>254278436.87288383</v>
      </c>
      <c r="M153" s="40">
        <f>+'Purchased Power Model'!L153</f>
        <v>253261286.00769246</v>
      </c>
      <c r="N153" s="120">
        <f t="shared" ref="N153:N163" si="19">+L153/M153</f>
        <v>1.0040162114045352</v>
      </c>
      <c r="O153" s="5"/>
      <c r="P153"/>
    </row>
    <row r="154" spans="1:16" x14ac:dyDescent="0.2">
      <c r="C154" s="29">
        <v>2015</v>
      </c>
      <c r="D154" s="6">
        <f t="shared" si="18"/>
        <v>256374688.63650927</v>
      </c>
      <c r="L154" s="6">
        <f>SUM(L27:L38)</f>
        <v>256457798.1077604</v>
      </c>
      <c r="M154" s="40">
        <f>+'Purchased Power Model'!L154</f>
        <v>255606326.81527585</v>
      </c>
      <c r="N154" s="120">
        <f t="shared" si="19"/>
        <v>1.0033311823814905</v>
      </c>
      <c r="O154" s="5"/>
      <c r="P154"/>
    </row>
    <row r="155" spans="1:16" x14ac:dyDescent="0.2">
      <c r="C155" s="29">
        <v>2016</v>
      </c>
      <c r="D155" s="6">
        <f t="shared" si="18"/>
        <v>259210018.63999999</v>
      </c>
      <c r="L155" s="6">
        <f>SUM(L39:L50)</f>
        <v>259057727.37037855</v>
      </c>
      <c r="M155" s="40">
        <f>+'Purchased Power Model'!L155</f>
        <v>261704642.09960899</v>
      </c>
      <c r="N155" s="120">
        <f t="shared" si="19"/>
        <v>0.9898858701626585</v>
      </c>
      <c r="O155" s="5"/>
      <c r="P155"/>
    </row>
    <row r="156" spans="1:16" x14ac:dyDescent="0.2">
      <c r="C156" s="29">
        <v>2017</v>
      </c>
      <c r="D156" s="6">
        <f t="shared" si="18"/>
        <v>254048366.90000001</v>
      </c>
      <c r="L156" s="6">
        <f>SUM(L51:L62)</f>
        <v>260639218.5906491</v>
      </c>
      <c r="M156" s="40">
        <f>+'Purchased Power Model'!L156</f>
        <v>258277666.21120611</v>
      </c>
      <c r="N156" s="120">
        <f t="shared" si="19"/>
        <v>1.0091434633667158</v>
      </c>
      <c r="O156" s="5"/>
      <c r="P156"/>
    </row>
    <row r="157" spans="1:16" x14ac:dyDescent="0.2">
      <c r="C157" s="29">
        <v>2018</v>
      </c>
      <c r="D157" s="6">
        <f t="shared" si="18"/>
        <v>266473255.97205046</v>
      </c>
      <c r="L157" s="6">
        <f>SUM(L63:L74)</f>
        <v>262995881.81238997</v>
      </c>
      <c r="M157" s="40">
        <f>+'Purchased Power Model'!L157</f>
        <v>266218412.34054422</v>
      </c>
      <c r="N157" s="120">
        <f t="shared" si="19"/>
        <v>0.98789516284834566</v>
      </c>
      <c r="O157" s="5"/>
      <c r="P157"/>
    </row>
    <row r="158" spans="1:16" x14ac:dyDescent="0.2">
      <c r="C158" s="29">
        <v>2019</v>
      </c>
      <c r="D158" s="6">
        <f t="shared" si="18"/>
        <v>261985353.56</v>
      </c>
      <c r="L158" s="6">
        <f>SUM(L75:L86)</f>
        <v>265175243.04726654</v>
      </c>
      <c r="M158" s="40">
        <f>+'Purchased Power Model'!L158</f>
        <v>265019257.76105964</v>
      </c>
      <c r="N158" s="120">
        <f t="shared" si="19"/>
        <v>1.0005885809488893</v>
      </c>
      <c r="O158" s="5"/>
      <c r="P158"/>
    </row>
    <row r="159" spans="1:16" x14ac:dyDescent="0.2">
      <c r="C159" s="29">
        <v>2020</v>
      </c>
      <c r="D159" s="6">
        <f t="shared" si="18"/>
        <v>263490930.20000002</v>
      </c>
      <c r="L159" s="6">
        <f>SUM(L87:L98)</f>
        <v>265631015.92771772</v>
      </c>
      <c r="M159" s="40">
        <f>+'Purchased Power Model'!L159</f>
        <v>266884948.06330311</v>
      </c>
      <c r="N159" s="120">
        <f t="shared" si="19"/>
        <v>0.99530160039116189</v>
      </c>
      <c r="O159" s="5"/>
      <c r="P159"/>
    </row>
    <row r="160" spans="1:16" x14ac:dyDescent="0.2">
      <c r="C160" s="29">
        <v>2021</v>
      </c>
      <c r="D160" s="6">
        <f t="shared" si="18"/>
        <v>268727921.99999994</v>
      </c>
      <c r="L160" s="6">
        <f>SUM(L99:L110)</f>
        <v>269533965.51701963</v>
      </c>
      <c r="M160" s="40">
        <f>+'Purchased Power Model'!L160</f>
        <v>268938534.64931339</v>
      </c>
      <c r="N160" s="120">
        <f t="shared" si="19"/>
        <v>1.002214003539815</v>
      </c>
      <c r="O160" s="5"/>
      <c r="P160"/>
    </row>
    <row r="161" spans="3:18" x14ac:dyDescent="0.2">
      <c r="C161" s="29">
        <v>2022</v>
      </c>
      <c r="D161" s="6">
        <f t="shared" si="18"/>
        <v>275958139.94408911</v>
      </c>
      <c r="L161" s="6">
        <f>SUM(L111:L122)</f>
        <v>271536024.76503175</v>
      </c>
      <c r="M161" s="40">
        <f>+'Purchased Power Model'!L161</f>
        <v>272212819.34678811</v>
      </c>
      <c r="N161" s="120">
        <f t="shared" si="19"/>
        <v>0.99751372994343024</v>
      </c>
      <c r="O161" s="5"/>
      <c r="P161"/>
    </row>
    <row r="162" spans="3:18" x14ac:dyDescent="0.2">
      <c r="C162" s="29">
        <v>2023</v>
      </c>
      <c r="D162" s="6">
        <f>SUM(D123:D131,L132:L134)</f>
        <v>272641452.31127304</v>
      </c>
      <c r="L162" s="16">
        <f>SUM(L123:L134)</f>
        <v>273715385.99990833</v>
      </c>
      <c r="M162" s="40">
        <f>+'Purchased Power Model'!L162</f>
        <v>270006354.93255472</v>
      </c>
      <c r="N162" s="120">
        <f t="shared" si="19"/>
        <v>1.0137368287804933</v>
      </c>
      <c r="O162" s="5"/>
      <c r="P162"/>
    </row>
    <row r="163" spans="3:18" x14ac:dyDescent="0.2">
      <c r="C163" s="29">
        <v>2024</v>
      </c>
      <c r="K163" s="6"/>
      <c r="L163" s="16">
        <f>SUM(L135:L146)</f>
        <v>276669919.23625523</v>
      </c>
      <c r="M163" s="40">
        <f>+'Purchased Power Model'!L163</f>
        <v>276669919.23625523</v>
      </c>
      <c r="N163" s="120">
        <f t="shared" si="19"/>
        <v>1</v>
      </c>
      <c r="O163" s="5"/>
      <c r="P163"/>
      <c r="Q163" s="6"/>
      <c r="R163" s="40"/>
    </row>
    <row r="164" spans="3:18" x14ac:dyDescent="0.2">
      <c r="L164" s="6"/>
      <c r="P164"/>
      <c r="Q164" s="6"/>
      <c r="R164" s="40"/>
    </row>
    <row r="165" spans="3:18" x14ac:dyDescent="0.2">
      <c r="C165" s="46" t="s">
        <v>11</v>
      </c>
      <c r="D165" s="6">
        <f>SUM(D152:D162)</f>
        <v>2889168335.7335649</v>
      </c>
      <c r="L165" s="6">
        <f>SUM(L152:L162)</f>
        <v>2891119773.6490135</v>
      </c>
      <c r="M165" s="37">
        <f>L165-D165</f>
        <v>1951437.9154486656</v>
      </c>
      <c r="N165" s="1" t="s">
        <v>145</v>
      </c>
      <c r="P165" s="5"/>
      <c r="Q165" s="6"/>
      <c r="R165" s="40"/>
    </row>
    <row r="166" spans="3:18" x14ac:dyDescent="0.2">
      <c r="P166" s="5"/>
      <c r="Q166" s="6"/>
      <c r="R166" s="40"/>
    </row>
    <row r="167" spans="3:18" x14ac:dyDescent="0.2">
      <c r="L167" s="6">
        <f>SUM(L152:L163)</f>
        <v>3167789692.8852687</v>
      </c>
      <c r="M167" s="37">
        <f>L150-L167</f>
        <v>0</v>
      </c>
      <c r="P167" s="5"/>
      <c r="Q167" s="6"/>
      <c r="R167" s="40"/>
    </row>
    <row r="168" spans="3:18" x14ac:dyDescent="0.2">
      <c r="K168" s="248"/>
      <c r="L168" s="248"/>
      <c r="M168" s="248"/>
      <c r="N168"/>
      <c r="O168"/>
      <c r="P168" s="5"/>
      <c r="Q168" s="6"/>
      <c r="R168" s="40"/>
    </row>
    <row r="169" spans="3:18" x14ac:dyDescent="0.2">
      <c r="P169" s="6"/>
      <c r="Q169" s="6"/>
      <c r="R169" s="40"/>
    </row>
    <row r="170" spans="3:18" x14ac:dyDescent="0.2">
      <c r="P170" s="6"/>
      <c r="Q170" s="6"/>
      <c r="R170" s="40"/>
    </row>
    <row r="171" spans="3:18" x14ac:dyDescent="0.2">
      <c r="C171"/>
      <c r="D171"/>
      <c r="E171"/>
      <c r="F171"/>
      <c r="G171"/>
      <c r="I171"/>
      <c r="J171"/>
      <c r="K171"/>
      <c r="L171"/>
      <c r="M171"/>
    </row>
    <row r="172" spans="3:18" x14ac:dyDescent="0.2">
      <c r="C172"/>
      <c r="D172"/>
      <c r="E172"/>
      <c r="F172"/>
      <c r="G172"/>
      <c r="I172"/>
      <c r="J172"/>
      <c r="K172"/>
      <c r="L172"/>
      <c r="M172"/>
    </row>
    <row r="173" spans="3:18" x14ac:dyDescent="0.2">
      <c r="C173"/>
      <c r="D173"/>
      <c r="E173"/>
      <c r="F173"/>
      <c r="G173"/>
      <c r="I173"/>
      <c r="J173"/>
      <c r="K173"/>
      <c r="L173"/>
      <c r="M173"/>
    </row>
    <row r="174" spans="3:18" x14ac:dyDescent="0.2">
      <c r="C174"/>
      <c r="D174"/>
      <c r="E174"/>
      <c r="F174"/>
      <c r="G174"/>
      <c r="I174"/>
      <c r="J174"/>
      <c r="K174"/>
      <c r="L174"/>
      <c r="M174"/>
    </row>
    <row r="175" spans="3:18" x14ac:dyDescent="0.2">
      <c r="C175"/>
      <c r="D175"/>
      <c r="E175"/>
      <c r="F175"/>
      <c r="G175"/>
      <c r="I175"/>
      <c r="J175"/>
      <c r="K175"/>
      <c r="L175"/>
      <c r="M175"/>
    </row>
    <row r="176" spans="3:18" x14ac:dyDescent="0.2">
      <c r="C176"/>
      <c r="D176"/>
      <c r="E176"/>
      <c r="F176"/>
      <c r="G176"/>
      <c r="I176"/>
      <c r="J176"/>
      <c r="K176"/>
      <c r="L176"/>
      <c r="M176"/>
    </row>
    <row r="177" spans="3:16" x14ac:dyDescent="0.2">
      <c r="C177"/>
      <c r="D177"/>
      <c r="E177"/>
      <c r="F177"/>
      <c r="G177"/>
      <c r="I177"/>
      <c r="J177"/>
      <c r="K177"/>
      <c r="L177"/>
      <c r="M177"/>
    </row>
    <row r="178" spans="3:16" x14ac:dyDescent="0.2">
      <c r="C178"/>
      <c r="D178"/>
      <c r="E178"/>
      <c r="F178"/>
      <c r="G178"/>
      <c r="I178"/>
      <c r="J178"/>
      <c r="K178"/>
      <c r="L178"/>
      <c r="M178"/>
    </row>
    <row r="179" spans="3:16" x14ac:dyDescent="0.2">
      <c r="C179"/>
      <c r="D179"/>
      <c r="E179"/>
      <c r="F179"/>
      <c r="G179"/>
      <c r="I179"/>
      <c r="J179"/>
      <c r="K179"/>
      <c r="L179"/>
      <c r="M179"/>
      <c r="N179"/>
      <c r="O179"/>
      <c r="P179"/>
    </row>
    <row r="180" spans="3:16" x14ac:dyDescent="0.2">
      <c r="C180"/>
      <c r="D180"/>
      <c r="E180"/>
      <c r="F180"/>
      <c r="G180"/>
      <c r="I180"/>
      <c r="J180"/>
      <c r="K180"/>
      <c r="L180"/>
      <c r="M180"/>
      <c r="N180"/>
      <c r="O180"/>
      <c r="P180"/>
    </row>
    <row r="181" spans="3:16" x14ac:dyDescent="0.2">
      <c r="C181"/>
      <c r="D181"/>
      <c r="E181"/>
      <c r="F181"/>
      <c r="G181"/>
      <c r="I181"/>
      <c r="J181"/>
      <c r="K181"/>
      <c r="L181"/>
      <c r="M181"/>
      <c r="N181"/>
      <c r="O181"/>
      <c r="P181"/>
    </row>
    <row r="182" spans="3:16" x14ac:dyDescent="0.2">
      <c r="C182"/>
      <c r="D182"/>
      <c r="E182"/>
      <c r="F182"/>
      <c r="G182"/>
      <c r="I182"/>
      <c r="J182"/>
      <c r="K182"/>
      <c r="L182"/>
      <c r="M182"/>
      <c r="N182"/>
      <c r="O182"/>
      <c r="P182"/>
    </row>
    <row r="183" spans="3:16" x14ac:dyDescent="0.2">
      <c r="C183"/>
      <c r="D183"/>
      <c r="E183"/>
      <c r="F183"/>
      <c r="G183"/>
      <c r="I183"/>
      <c r="J183"/>
      <c r="K183"/>
      <c r="L183"/>
      <c r="M183"/>
      <c r="N183"/>
      <c r="O183"/>
      <c r="P183"/>
    </row>
    <row r="184" spans="3:16" x14ac:dyDescent="0.2">
      <c r="C184"/>
      <c r="N184"/>
      <c r="O184"/>
      <c r="P184"/>
    </row>
    <row r="185" spans="3:16" x14ac:dyDescent="0.2">
      <c r="C185"/>
      <c r="N185"/>
      <c r="O185"/>
      <c r="P185"/>
    </row>
    <row r="186" spans="3:16" x14ac:dyDescent="0.2">
      <c r="C186"/>
      <c r="N186"/>
      <c r="O186"/>
      <c r="P186"/>
    </row>
    <row r="187" spans="3:16" x14ac:dyDescent="0.2">
      <c r="C187"/>
      <c r="N187"/>
      <c r="O187"/>
      <c r="P187"/>
    </row>
    <row r="188" spans="3:16" x14ac:dyDescent="0.2">
      <c r="C188"/>
      <c r="N188"/>
      <c r="O188"/>
      <c r="P188"/>
    </row>
    <row r="189" spans="3:16" x14ac:dyDescent="0.2">
      <c r="C189"/>
      <c r="N189"/>
      <c r="O189"/>
      <c r="P189"/>
    </row>
    <row r="190" spans="3:16" x14ac:dyDescent="0.2">
      <c r="C190"/>
      <c r="N190"/>
      <c r="O190"/>
      <c r="P190"/>
    </row>
    <row r="191" spans="3:16" x14ac:dyDescent="0.2">
      <c r="C191"/>
      <c r="N191"/>
      <c r="O191"/>
      <c r="P191"/>
    </row>
    <row r="192" spans="3:16" x14ac:dyDescent="0.2">
      <c r="C192"/>
      <c r="N192"/>
      <c r="O192"/>
      <c r="P192"/>
    </row>
    <row r="193" spans="3:16" x14ac:dyDescent="0.2">
      <c r="C193"/>
      <c r="N193"/>
      <c r="O193"/>
      <c r="P193"/>
    </row>
    <row r="194" spans="3:16" x14ac:dyDescent="0.2">
      <c r="C194"/>
      <c r="N194"/>
      <c r="O194"/>
      <c r="P194"/>
    </row>
    <row r="195" spans="3:16" customFormat="1" x14ac:dyDescent="0.2">
      <c r="H195" s="103"/>
    </row>
    <row r="196" spans="3:16" customFormat="1" x14ac:dyDescent="0.2">
      <c r="H196" s="103"/>
    </row>
  </sheetData>
  <mergeCells count="1">
    <mergeCell ref="K168:M168"/>
  </mergeCells>
  <printOptions gridLines="1"/>
  <pageMargins left="0.38" right="0.75" top="0.73" bottom="0.74" header="0.5" footer="0.5"/>
  <pageSetup scale="23" orientation="landscape" r:id="rId1"/>
  <headerFooter alignWithMargins="0">
    <oddFooter>&amp;L&amp;Z&amp;F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0DA04A-C637-4BBF-ADB5-684AB89E4DA6}">
  <sheetPr>
    <tabColor rgb="FF00B0F0"/>
    <pageSetUpPr fitToPage="1"/>
  </sheetPr>
  <dimension ref="A1:Y196"/>
  <sheetViews>
    <sheetView zoomScale="82" zoomScaleNormal="82" workbookViewId="0">
      <pane xSplit="3" ySplit="2" topLeftCell="D107" activePane="bottomRight" state="frozen"/>
      <selection pane="topRight" activeCell="C1" sqref="C1"/>
      <selection pane="bottomLeft" activeCell="A3" sqref="A3"/>
      <selection pane="bottomRight" activeCell="G141" sqref="G141"/>
    </sheetView>
  </sheetViews>
  <sheetFormatPr defaultRowHeight="12.75" x14ac:dyDescent="0.2"/>
  <cols>
    <col min="3" max="3" width="11.85546875" style="29" customWidth="1"/>
    <col min="4" max="4" width="16.85546875" style="6" customWidth="1"/>
    <col min="5" max="5" width="11.5703125" style="1" customWidth="1"/>
    <col min="6" max="6" width="13.42578125" style="1" customWidth="1"/>
    <col min="7" max="7" width="10.140625" style="1" customWidth="1"/>
    <col min="8" max="8" width="12.42578125" style="103" customWidth="1"/>
    <col min="9" max="9" width="13" style="1" customWidth="1"/>
    <col min="10" max="10" width="12.42578125" style="1" customWidth="1"/>
    <col min="11" max="11" width="14.85546875" style="1" customWidth="1"/>
    <col min="12" max="12" width="15.5703125" style="1" bestFit="1" customWidth="1"/>
    <col min="13" max="13" width="16" style="1" customWidth="1"/>
    <col min="14" max="15" width="8.42578125" style="1" customWidth="1"/>
    <col min="16" max="16" width="4.85546875" style="1" customWidth="1"/>
    <col min="17" max="17" width="35.140625" customWidth="1"/>
    <col min="18" max="18" width="18.42578125" customWidth="1"/>
    <col min="19" max="19" width="14.7109375" customWidth="1"/>
    <col min="20" max="21" width="12.5703125" customWidth="1"/>
    <col min="22" max="25" width="15.7109375" customWidth="1"/>
    <col min="26" max="26" width="42.42578125" bestFit="1" customWidth="1"/>
    <col min="27" max="27" width="15.5703125" bestFit="1" customWidth="1"/>
    <col min="28" max="28" width="26.140625" bestFit="1" customWidth="1"/>
    <col min="29" max="29" width="23" bestFit="1" customWidth="1"/>
    <col min="32" max="32" width="40.5703125" bestFit="1" customWidth="1"/>
    <col min="33" max="33" width="42.85546875" bestFit="1" customWidth="1"/>
  </cols>
  <sheetData>
    <row r="1" spans="1:22" x14ac:dyDescent="0.2">
      <c r="Q1" s="47" t="s">
        <v>274</v>
      </c>
    </row>
    <row r="2" spans="1:22" ht="38.25" x14ac:dyDescent="0.2">
      <c r="C2" s="59"/>
      <c r="D2" s="60" t="s">
        <v>71</v>
      </c>
      <c r="E2" s="61" t="s">
        <v>4</v>
      </c>
      <c r="F2" s="61" t="s">
        <v>5</v>
      </c>
      <c r="G2" s="61" t="s">
        <v>6</v>
      </c>
      <c r="H2" s="104" t="s">
        <v>18</v>
      </c>
      <c r="I2" s="61" t="s">
        <v>7</v>
      </c>
      <c r="J2" s="61" t="s">
        <v>144</v>
      </c>
      <c r="K2" s="61" t="s">
        <v>70</v>
      </c>
      <c r="L2" s="61" t="s">
        <v>12</v>
      </c>
      <c r="M2" s="63" t="s">
        <v>13</v>
      </c>
      <c r="N2" s="61" t="s">
        <v>14</v>
      </c>
      <c r="O2" s="61" t="s">
        <v>64</v>
      </c>
      <c r="P2"/>
      <c r="Q2" t="s">
        <v>19</v>
      </c>
      <c r="R2" s="223"/>
    </row>
    <row r="3" spans="1:22" x14ac:dyDescent="0.2">
      <c r="A3" s="3" t="str">
        <f>YEAR(C3)&amp;MONTH(C3)</f>
        <v>20131</v>
      </c>
      <c r="B3" s="49">
        <f>YEAR(C3)</f>
        <v>2013</v>
      </c>
      <c r="C3" s="52">
        <v>41305</v>
      </c>
      <c r="D3" s="53">
        <f>+Inputs!D3</f>
        <v>23103232.740000002</v>
      </c>
      <c r="E3" s="53">
        <f>VLOOKUP(A3,'[11]HDD CDD Summary'!$R:$T,2,FALSE)</f>
        <v>624.50000000000011</v>
      </c>
      <c r="F3" s="53">
        <f>VLOOKUP(A3,'[11]HDD CDD Summary'!$R:$T,3,FALSE)</f>
        <v>0</v>
      </c>
      <c r="G3" s="53">
        <f>+Inputs!G3</f>
        <v>31</v>
      </c>
      <c r="H3" s="105">
        <f>+Inputs!H3</f>
        <v>0</v>
      </c>
      <c r="I3" s="53">
        <f>+Inputs!I3</f>
        <v>352</v>
      </c>
      <c r="J3" s="53">
        <f>+Inputs!J3</f>
        <v>0</v>
      </c>
      <c r="K3" s="53">
        <f>+Inputs!M3</f>
        <v>1</v>
      </c>
      <c r="L3" s="53">
        <f>$R$18+$R$19*E3+$R$20*F3+$R$21*G3+$R$22*H3+$R$23*I3+J3*$R$24+K3*$R$25</f>
        <v>22630345.720369216</v>
      </c>
      <c r="M3" s="37">
        <f t="shared" ref="M3:M34" si="0">L3-D3</f>
        <v>-472887.01963078603</v>
      </c>
      <c r="N3" s="45">
        <f t="shared" ref="N3:N34" si="1">M3/D3</f>
        <v>-2.0468435086664238E-2</v>
      </c>
      <c r="O3" s="12">
        <f t="shared" ref="O3:O66" si="2">ABS(N3)</f>
        <v>2.0468435086664238E-2</v>
      </c>
      <c r="P3" s="12"/>
    </row>
    <row r="4" spans="1:22" x14ac:dyDescent="0.2">
      <c r="A4" s="3" t="str">
        <f t="shared" ref="A4:A67" si="3">YEAR(C4)&amp;MONTH(C4)</f>
        <v>20132</v>
      </c>
      <c r="B4" s="49">
        <f t="shared" ref="B4:B67" si="4">YEAR(C4)</f>
        <v>2013</v>
      </c>
      <c r="C4" s="52">
        <v>41333</v>
      </c>
      <c r="D4" s="53">
        <f>+Inputs!D4</f>
        <v>21143805.780000001</v>
      </c>
      <c r="E4" s="53">
        <f>VLOOKUP(A4,'[11]HDD CDD Summary'!$R:$T,2,FALSE)</f>
        <v>631.49999999999989</v>
      </c>
      <c r="F4" s="53">
        <f>VLOOKUP(A4,'[11]HDD CDD Summary'!$R:$T,3,FALSE)</f>
        <v>0</v>
      </c>
      <c r="G4" s="53">
        <f>+Inputs!G4</f>
        <v>28</v>
      </c>
      <c r="H4" s="105">
        <f>+Inputs!H4</f>
        <v>0</v>
      </c>
      <c r="I4" s="53">
        <f>+Inputs!I4</f>
        <v>304</v>
      </c>
      <c r="J4" s="53">
        <f>+Inputs!J4</f>
        <v>0</v>
      </c>
      <c r="K4" s="53">
        <f>+Inputs!M4</f>
        <v>2</v>
      </c>
      <c r="L4" s="53">
        <f t="shared" ref="L4:L67" si="5">$R$18+$R$19*E4+$R$20*F4+$R$21*G4+$R$22*H4+$R$23*I4+J4*$R$24+K4*$R$25</f>
        <v>20892556.569631308</v>
      </c>
      <c r="M4" s="37">
        <f t="shared" si="0"/>
        <v>-251249.21036869287</v>
      </c>
      <c r="N4" s="45">
        <f t="shared" si="1"/>
        <v>-1.1882875437985264E-2</v>
      </c>
      <c r="O4" s="12">
        <f t="shared" si="2"/>
        <v>1.1882875437985264E-2</v>
      </c>
      <c r="P4" s="12"/>
      <c r="Q4" s="76" t="s">
        <v>20</v>
      </c>
      <c r="R4" s="76"/>
    </row>
    <row r="5" spans="1:22" x14ac:dyDescent="0.2">
      <c r="A5" s="3" t="str">
        <f t="shared" si="3"/>
        <v>20133</v>
      </c>
      <c r="B5" s="49">
        <f t="shared" si="4"/>
        <v>2013</v>
      </c>
      <c r="C5" s="52">
        <v>41364</v>
      </c>
      <c r="D5" s="53">
        <f>+Inputs!D5</f>
        <v>22021932.285</v>
      </c>
      <c r="E5" s="53">
        <f>VLOOKUP(A5,'[11]HDD CDD Summary'!$R:$T,2,FALSE)</f>
        <v>554.79999999999995</v>
      </c>
      <c r="F5" s="53">
        <f>VLOOKUP(A5,'[11]HDD CDD Summary'!$R:$T,3,FALSE)</f>
        <v>0</v>
      </c>
      <c r="G5" s="53">
        <f>+Inputs!G5</f>
        <v>31</v>
      </c>
      <c r="H5" s="105">
        <v>0.33333333333333331</v>
      </c>
      <c r="I5" s="53">
        <f>+Inputs!I5</f>
        <v>320</v>
      </c>
      <c r="J5" s="53">
        <f>+Inputs!J5</f>
        <v>0</v>
      </c>
      <c r="K5" s="53">
        <f>+Inputs!M5</f>
        <v>3</v>
      </c>
      <c r="L5" s="53">
        <f t="shared" si="5"/>
        <v>21725458.496057052</v>
      </c>
      <c r="M5" s="37">
        <f t="shared" si="0"/>
        <v>-296473.78894294798</v>
      </c>
      <c r="N5" s="45">
        <f t="shared" si="1"/>
        <v>-1.346266009295142E-2</v>
      </c>
      <c r="O5" s="12">
        <f t="shared" si="2"/>
        <v>1.346266009295142E-2</v>
      </c>
      <c r="P5" s="12"/>
      <c r="Q5" t="s">
        <v>21</v>
      </c>
      <c r="R5" s="112">
        <v>0.95903034844094093</v>
      </c>
    </row>
    <row r="6" spans="1:22" x14ac:dyDescent="0.2">
      <c r="A6" s="3" t="str">
        <f t="shared" si="3"/>
        <v>20134</v>
      </c>
      <c r="B6" s="49">
        <f t="shared" si="4"/>
        <v>2013</v>
      </c>
      <c r="C6" s="52">
        <v>41394</v>
      </c>
      <c r="D6" s="53">
        <f>+Inputs!D6</f>
        <v>20056096.465</v>
      </c>
      <c r="E6" s="53">
        <f>VLOOKUP(A6,'[11]HDD CDD Summary'!$R:$T,2,FALSE)</f>
        <v>358.6</v>
      </c>
      <c r="F6" s="53">
        <f>VLOOKUP(A6,'[11]HDD CDD Summary'!$R:$T,3,FALSE)</f>
        <v>0</v>
      </c>
      <c r="G6" s="53">
        <f>+Inputs!G6</f>
        <v>30</v>
      </c>
      <c r="H6" s="105">
        <f>+Inputs!H6</f>
        <v>1</v>
      </c>
      <c r="I6" s="53">
        <f>+Inputs!I6</f>
        <v>352</v>
      </c>
      <c r="J6" s="53">
        <f>+Inputs!J6</f>
        <v>0</v>
      </c>
      <c r="K6" s="53">
        <f>+Inputs!M6</f>
        <v>4</v>
      </c>
      <c r="L6" s="53">
        <f t="shared" si="5"/>
        <v>20183383.182471637</v>
      </c>
      <c r="M6" s="37">
        <f t="shared" si="0"/>
        <v>127286.71747163683</v>
      </c>
      <c r="N6" s="45">
        <f t="shared" si="1"/>
        <v>6.3465349647557571E-3</v>
      </c>
      <c r="O6" s="12">
        <f t="shared" si="2"/>
        <v>6.3465349647557571E-3</v>
      </c>
      <c r="P6" s="12"/>
      <c r="Q6" t="s">
        <v>22</v>
      </c>
      <c r="R6" s="112">
        <v>0.91973920923075259</v>
      </c>
    </row>
    <row r="7" spans="1:22" x14ac:dyDescent="0.2">
      <c r="A7" s="3" t="str">
        <f t="shared" si="3"/>
        <v>20135</v>
      </c>
      <c r="B7" s="49">
        <f t="shared" si="4"/>
        <v>2013</v>
      </c>
      <c r="C7" s="52">
        <v>41425</v>
      </c>
      <c r="D7" s="53">
        <f>+Inputs!D7</f>
        <v>19849846.864999998</v>
      </c>
      <c r="E7" s="53">
        <f>VLOOKUP(A7,'[11]HDD CDD Summary'!$R:$T,2,FALSE)</f>
        <v>109.10000000000001</v>
      </c>
      <c r="F7" s="53">
        <f>VLOOKUP(A7,'[11]HDD CDD Summary'!$R:$T,3,FALSE)</f>
        <v>23.1</v>
      </c>
      <c r="G7" s="53">
        <f>+Inputs!G7</f>
        <v>31</v>
      </c>
      <c r="H7" s="105">
        <f>+Inputs!H7</f>
        <v>1</v>
      </c>
      <c r="I7" s="53">
        <f>+Inputs!I7</f>
        <v>352</v>
      </c>
      <c r="J7" s="53">
        <f>+Inputs!J7</f>
        <v>0</v>
      </c>
      <c r="K7" s="53">
        <f>+Inputs!M7</f>
        <v>5</v>
      </c>
      <c r="L7" s="53">
        <f t="shared" si="5"/>
        <v>19733597.729542967</v>
      </c>
      <c r="M7" s="37">
        <f t="shared" si="0"/>
        <v>-116249.13545703143</v>
      </c>
      <c r="N7" s="45">
        <f t="shared" si="1"/>
        <v>-5.856424800032403E-3</v>
      </c>
      <c r="O7" s="12">
        <f t="shared" si="2"/>
        <v>5.856424800032403E-3</v>
      </c>
      <c r="P7" s="12"/>
      <c r="Q7" t="s">
        <v>23</v>
      </c>
      <c r="R7" s="112">
        <v>0.9150960229879036</v>
      </c>
    </row>
    <row r="8" spans="1:22" x14ac:dyDescent="0.2">
      <c r="A8" s="3" t="str">
        <f t="shared" si="3"/>
        <v>20136</v>
      </c>
      <c r="B8" s="49">
        <f t="shared" si="4"/>
        <v>2013</v>
      </c>
      <c r="C8" s="52">
        <v>41455</v>
      </c>
      <c r="D8" s="53">
        <f>+Inputs!D8</f>
        <v>20147779.544999998</v>
      </c>
      <c r="E8" s="53">
        <f>VLOOKUP(A8,'[11]HDD CDD Summary'!$R:$T,2,FALSE)</f>
        <v>32.999999999999993</v>
      </c>
      <c r="F8" s="53">
        <f>VLOOKUP(A8,'[11]HDD CDD Summary'!$R:$T,3,FALSE)</f>
        <v>60</v>
      </c>
      <c r="G8" s="53">
        <f>+Inputs!G8</f>
        <v>30</v>
      </c>
      <c r="H8" s="105">
        <v>0.66666666666666663</v>
      </c>
      <c r="I8" s="53">
        <f>+Inputs!I8</f>
        <v>320</v>
      </c>
      <c r="J8" s="53">
        <f>+Inputs!J8</f>
        <v>0</v>
      </c>
      <c r="K8" s="53">
        <f>+Inputs!M8</f>
        <v>6</v>
      </c>
      <c r="L8" s="53">
        <f t="shared" si="5"/>
        <v>19608714.038829967</v>
      </c>
      <c r="M8" s="37">
        <f t="shared" si="0"/>
        <v>-539065.50617003068</v>
      </c>
      <c r="N8" s="45">
        <f t="shared" si="1"/>
        <v>-2.6755578944371E-2</v>
      </c>
      <c r="O8" s="12">
        <f t="shared" si="2"/>
        <v>2.6755578944371E-2</v>
      </c>
      <c r="P8" s="12"/>
      <c r="Q8" t="s">
        <v>24</v>
      </c>
      <c r="R8" s="113">
        <v>430732.82162045367</v>
      </c>
    </row>
    <row r="9" spans="1:22" ht="13.5" thickBot="1" x14ac:dyDescent="0.25">
      <c r="A9" s="3" t="str">
        <f t="shared" si="3"/>
        <v>20137</v>
      </c>
      <c r="B9" s="49">
        <f t="shared" si="4"/>
        <v>2013</v>
      </c>
      <c r="C9" s="52">
        <v>41486</v>
      </c>
      <c r="D9" s="53">
        <f>+Inputs!D9</f>
        <v>22076027.195</v>
      </c>
      <c r="E9" s="53">
        <f>VLOOKUP(A9,'[11]HDD CDD Summary'!$R:$T,2,FALSE)</f>
        <v>1.2999999999999998</v>
      </c>
      <c r="F9" s="53">
        <f>VLOOKUP(A9,'[11]HDD CDD Summary'!$R:$T,3,FALSE)</f>
        <v>131.20000000000002</v>
      </c>
      <c r="G9" s="53">
        <f>+Inputs!G9</f>
        <v>31</v>
      </c>
      <c r="H9" s="105">
        <f>+Inputs!H9</f>
        <v>0</v>
      </c>
      <c r="I9" s="53">
        <f>+Inputs!I9</f>
        <v>352</v>
      </c>
      <c r="J9" s="53">
        <f>+Inputs!J9</f>
        <v>0</v>
      </c>
      <c r="K9" s="53">
        <f>+Inputs!M9</f>
        <v>7</v>
      </c>
      <c r="L9" s="53">
        <f t="shared" si="5"/>
        <v>22306157.689040743</v>
      </c>
      <c r="M9" s="37">
        <f t="shared" si="0"/>
        <v>230130.49404074252</v>
      </c>
      <c r="N9" s="45">
        <f t="shared" si="1"/>
        <v>1.0424452371252051E-2</v>
      </c>
      <c r="O9" s="12">
        <f t="shared" si="2"/>
        <v>1.0424452371252051E-2</v>
      </c>
      <c r="P9" s="12"/>
      <c r="Q9" s="90" t="s">
        <v>25</v>
      </c>
      <c r="R9" s="90">
        <v>129</v>
      </c>
    </row>
    <row r="10" spans="1:22" x14ac:dyDescent="0.2">
      <c r="A10" s="3" t="str">
        <f t="shared" si="3"/>
        <v>20138</v>
      </c>
      <c r="B10" s="49">
        <f t="shared" si="4"/>
        <v>2013</v>
      </c>
      <c r="C10" s="52">
        <v>41517</v>
      </c>
      <c r="D10" s="53">
        <f>+Inputs!D10</f>
        <v>21280806.869999997</v>
      </c>
      <c r="E10" s="53">
        <f>VLOOKUP(A10,'[11]HDD CDD Summary'!$R:$T,2,FALSE)</f>
        <v>4.4000000000000004</v>
      </c>
      <c r="F10" s="53">
        <f>VLOOKUP(A10,'[11]HDD CDD Summary'!$R:$T,3,FALSE)</f>
        <v>93.799999999999983</v>
      </c>
      <c r="G10" s="53">
        <f>+Inputs!G10</f>
        <v>31</v>
      </c>
      <c r="H10" s="105">
        <f>+Inputs!H10</f>
        <v>0</v>
      </c>
      <c r="I10" s="53">
        <f>+Inputs!I10</f>
        <v>352</v>
      </c>
      <c r="J10" s="53">
        <f>+Inputs!J10</f>
        <v>0</v>
      </c>
      <c r="K10" s="53">
        <f>+Inputs!M10</f>
        <v>8</v>
      </c>
      <c r="L10" s="53">
        <f t="shared" si="5"/>
        <v>21425045.505567115</v>
      </c>
      <c r="M10" s="37">
        <f t="shared" si="0"/>
        <v>144238.63556711748</v>
      </c>
      <c r="N10" s="45">
        <f t="shared" si="1"/>
        <v>6.7778743751701316E-3</v>
      </c>
      <c r="O10" s="12">
        <f t="shared" si="2"/>
        <v>6.7778743751701316E-3</v>
      </c>
      <c r="P10" s="12"/>
    </row>
    <row r="11" spans="1:22" x14ac:dyDescent="0.2">
      <c r="A11" s="3" t="str">
        <f t="shared" si="3"/>
        <v>20139</v>
      </c>
      <c r="B11" s="49">
        <f t="shared" si="4"/>
        <v>2013</v>
      </c>
      <c r="C11" s="52">
        <v>41547</v>
      </c>
      <c r="D11" s="53">
        <f>+Inputs!D11</f>
        <v>19603273.836052112</v>
      </c>
      <c r="E11" s="53">
        <f>VLOOKUP(A11,'[11]HDD CDD Summary'!$R:$T,2,FALSE)</f>
        <v>86.35</v>
      </c>
      <c r="F11" s="53">
        <f>VLOOKUP(A11,'[11]HDD CDD Summary'!$R:$T,3,FALSE)</f>
        <v>28.749999999999996</v>
      </c>
      <c r="G11" s="53">
        <f>+Inputs!G11</f>
        <v>30</v>
      </c>
      <c r="H11" s="105">
        <v>0.33333333333333331</v>
      </c>
      <c r="I11" s="53">
        <f>+Inputs!I11</f>
        <v>320</v>
      </c>
      <c r="J11" s="53">
        <f>+Inputs!J11</f>
        <v>0</v>
      </c>
      <c r="K11" s="53">
        <f>+Inputs!M11</f>
        <v>9</v>
      </c>
      <c r="L11" s="53">
        <f t="shared" si="5"/>
        <v>19375713.092151817</v>
      </c>
      <c r="M11" s="37">
        <f t="shared" si="0"/>
        <v>-227560.74390029535</v>
      </c>
      <c r="N11" s="45">
        <f t="shared" si="1"/>
        <v>-1.1608303072407809E-2</v>
      </c>
      <c r="O11" s="12">
        <f t="shared" si="2"/>
        <v>1.1608303072407809E-2</v>
      </c>
      <c r="P11" s="12"/>
      <c r="Q11" t="s">
        <v>26</v>
      </c>
    </row>
    <row r="12" spans="1:22" x14ac:dyDescent="0.2">
      <c r="A12" s="3" t="str">
        <f t="shared" si="3"/>
        <v>201310</v>
      </c>
      <c r="B12" s="49">
        <f t="shared" si="4"/>
        <v>2013</v>
      </c>
      <c r="C12" s="52">
        <v>41578</v>
      </c>
      <c r="D12" s="53">
        <f>+Inputs!D12</f>
        <v>20353929.379999995</v>
      </c>
      <c r="E12" s="53">
        <f>VLOOKUP(A12,'[11]HDD CDD Summary'!$R:$T,2,FALSE)</f>
        <v>221.8</v>
      </c>
      <c r="F12" s="53">
        <f>VLOOKUP(A12,'[11]HDD CDD Summary'!$R:$T,3,FALSE)</f>
        <v>0.4</v>
      </c>
      <c r="G12" s="53">
        <f>+Inputs!G12</f>
        <v>31</v>
      </c>
      <c r="H12" s="105">
        <f>+Inputs!H12</f>
        <v>1</v>
      </c>
      <c r="I12" s="53">
        <f>+Inputs!I12</f>
        <v>352</v>
      </c>
      <c r="J12" s="53">
        <f>+Inputs!J12</f>
        <v>0</v>
      </c>
      <c r="K12" s="53">
        <f>+Inputs!M12</f>
        <v>10</v>
      </c>
      <c r="L12" s="53">
        <f t="shared" si="5"/>
        <v>19909406.876992423</v>
      </c>
      <c r="M12" s="37">
        <f t="shared" si="0"/>
        <v>-444522.50300757214</v>
      </c>
      <c r="N12" s="45">
        <f t="shared" si="1"/>
        <v>-2.1839640627050867E-2</v>
      </c>
      <c r="O12" s="12">
        <f t="shared" si="2"/>
        <v>2.1839640627050867E-2</v>
      </c>
      <c r="P12" s="12"/>
      <c r="Q12" s="76"/>
      <c r="R12" s="76" t="s">
        <v>30</v>
      </c>
      <c r="S12" s="76" t="s">
        <v>31</v>
      </c>
      <c r="T12" s="76" t="s">
        <v>32</v>
      </c>
      <c r="U12" s="76" t="s">
        <v>33</v>
      </c>
      <c r="V12" s="76" t="s">
        <v>34</v>
      </c>
    </row>
    <row r="13" spans="1:22" x14ac:dyDescent="0.2">
      <c r="A13" s="3" t="str">
        <f t="shared" si="3"/>
        <v>201311</v>
      </c>
      <c r="B13" s="49">
        <f t="shared" si="4"/>
        <v>2013</v>
      </c>
      <c r="C13" s="52">
        <v>41608</v>
      </c>
      <c r="D13" s="53">
        <f>+Inputs!D13</f>
        <v>21325343.805</v>
      </c>
      <c r="E13" s="53">
        <f>VLOOKUP(A13,'[11]HDD CDD Summary'!$R:$T,2,FALSE)</f>
        <v>478.20000000000005</v>
      </c>
      <c r="F13" s="53">
        <f>VLOOKUP(A13,'[11]HDD CDD Summary'!$R:$T,3,FALSE)</f>
        <v>0</v>
      </c>
      <c r="G13" s="53">
        <f>+Inputs!G13</f>
        <v>30</v>
      </c>
      <c r="H13" s="105">
        <f>+Inputs!H13</f>
        <v>1</v>
      </c>
      <c r="I13" s="53">
        <f>+Inputs!I13</f>
        <v>336</v>
      </c>
      <c r="J13" s="53">
        <f>+Inputs!J13</f>
        <v>0</v>
      </c>
      <c r="K13" s="53">
        <f>+Inputs!M13</f>
        <v>11</v>
      </c>
      <c r="L13" s="53">
        <f t="shared" si="5"/>
        <v>20807179.256918713</v>
      </c>
      <c r="M13" s="37">
        <f t="shared" si="0"/>
        <v>-518164.54808128625</v>
      </c>
      <c r="N13" s="45">
        <f t="shared" si="1"/>
        <v>-2.4298063038017514E-2</v>
      </c>
      <c r="O13" s="12">
        <f t="shared" si="2"/>
        <v>2.4298063038017514E-2</v>
      </c>
      <c r="P13" s="12"/>
      <c r="Q13" t="s">
        <v>27</v>
      </c>
      <c r="R13">
        <v>7</v>
      </c>
      <c r="S13">
        <v>257254256510961.56</v>
      </c>
      <c r="T13">
        <v>36750608072994.508</v>
      </c>
      <c r="U13">
        <v>198.08363505712137</v>
      </c>
      <c r="V13">
        <v>3.9524965411125393E-63</v>
      </c>
    </row>
    <row r="14" spans="1:22" x14ac:dyDescent="0.2">
      <c r="A14" s="3" t="str">
        <f t="shared" si="3"/>
        <v>201312</v>
      </c>
      <c r="B14" s="49">
        <f t="shared" si="4"/>
        <v>2013</v>
      </c>
      <c r="C14" s="52">
        <v>41639</v>
      </c>
      <c r="D14" s="53">
        <f>+Inputs!D14</f>
        <v>22832457.52</v>
      </c>
      <c r="E14" s="53">
        <f>VLOOKUP(A14,'[11]HDD CDD Summary'!$R:$T,2,FALSE)</f>
        <v>687.9</v>
      </c>
      <c r="F14" s="53">
        <f>VLOOKUP(A14,'[11]HDD CDD Summary'!$R:$T,3,FALSE)</f>
        <v>0</v>
      </c>
      <c r="G14" s="53">
        <f>+Inputs!G14</f>
        <v>31</v>
      </c>
      <c r="H14" s="105">
        <v>0.66666666666666663</v>
      </c>
      <c r="I14" s="53">
        <f>+Inputs!I14</f>
        <v>320</v>
      </c>
      <c r="J14" s="53">
        <f>+Inputs!J14</f>
        <v>0</v>
      </c>
      <c r="K14" s="53">
        <f>+Inputs!M14</f>
        <v>12</v>
      </c>
      <c r="L14" s="53">
        <f t="shared" si="5"/>
        <v>22459860.708643593</v>
      </c>
      <c r="M14" s="37">
        <f t="shared" si="0"/>
        <v>-372596.81135640666</v>
      </c>
      <c r="N14" s="45">
        <f t="shared" si="1"/>
        <v>-1.6318734460801339E-2</v>
      </c>
      <c r="O14" s="12">
        <f t="shared" si="2"/>
        <v>1.6318734460801339E-2</v>
      </c>
      <c r="P14" s="12"/>
      <c r="Q14" t="s">
        <v>28</v>
      </c>
      <c r="R14">
        <v>121</v>
      </c>
      <c r="S14">
        <v>22449222398155.227</v>
      </c>
      <c r="T14">
        <v>185530763621.11758</v>
      </c>
    </row>
    <row r="15" spans="1:22" ht="13.5" thickBot="1" x14ac:dyDescent="0.25">
      <c r="A15" s="3" t="str">
        <f t="shared" si="3"/>
        <v>20141</v>
      </c>
      <c r="B15" s="49">
        <f t="shared" si="4"/>
        <v>2014</v>
      </c>
      <c r="C15" s="52">
        <v>41670</v>
      </c>
      <c r="D15" s="53">
        <f>+Inputs!D15</f>
        <v>24790039.349999998</v>
      </c>
      <c r="E15" s="53">
        <f>VLOOKUP(A15,'[11]HDD CDD Summary'!$R:$T,2,FALSE)</f>
        <v>825.90000000000009</v>
      </c>
      <c r="F15" s="53">
        <f>VLOOKUP(A15,'[11]HDD CDD Summary'!$R:$T,3,FALSE)</f>
        <v>0</v>
      </c>
      <c r="G15" s="53">
        <f>+Inputs!G15</f>
        <v>31</v>
      </c>
      <c r="H15" s="105">
        <f>+H3</f>
        <v>0</v>
      </c>
      <c r="I15" s="53">
        <f>+Inputs!I15</f>
        <v>352</v>
      </c>
      <c r="J15" s="53">
        <f>+Inputs!J15</f>
        <v>0</v>
      </c>
      <c r="K15" s="53">
        <f>+Inputs!M15</f>
        <v>13</v>
      </c>
      <c r="L15" s="53">
        <f t="shared" si="5"/>
        <v>23982566.160627011</v>
      </c>
      <c r="M15" s="37">
        <f t="shared" si="0"/>
        <v>-807473.18937298656</v>
      </c>
      <c r="N15" s="45">
        <f t="shared" si="1"/>
        <v>-3.2572485181351141E-2</v>
      </c>
      <c r="O15" s="12">
        <f t="shared" si="2"/>
        <v>3.2572485181351141E-2</v>
      </c>
      <c r="P15" s="12"/>
      <c r="Q15" s="90" t="s">
        <v>11</v>
      </c>
      <c r="R15" s="90">
        <v>128</v>
      </c>
      <c r="S15" s="90">
        <v>279703478909116.78</v>
      </c>
      <c r="T15" s="90"/>
      <c r="U15" s="90"/>
      <c r="V15" s="90"/>
    </row>
    <row r="16" spans="1:22" x14ac:dyDescent="0.2">
      <c r="A16" s="3" t="str">
        <f t="shared" si="3"/>
        <v>20142</v>
      </c>
      <c r="B16" s="49">
        <f t="shared" si="4"/>
        <v>2014</v>
      </c>
      <c r="C16" s="52">
        <v>41698</v>
      </c>
      <c r="D16" s="53">
        <f>+Inputs!D16</f>
        <v>21747839.690000001</v>
      </c>
      <c r="E16" s="53">
        <f>VLOOKUP(A16,'[11]HDD CDD Summary'!$R:$T,2,FALSE)</f>
        <v>737.09999999999991</v>
      </c>
      <c r="F16" s="53">
        <f>VLOOKUP(A16,'[11]HDD CDD Summary'!$R:$T,3,FALSE)</f>
        <v>0</v>
      </c>
      <c r="G16" s="53">
        <f>+Inputs!G16</f>
        <v>28</v>
      </c>
      <c r="H16" s="105">
        <f t="shared" ref="H16:H79" si="6">+H4</f>
        <v>0</v>
      </c>
      <c r="I16" s="53">
        <f>+Inputs!I16</f>
        <v>304</v>
      </c>
      <c r="J16" s="53">
        <f>+Inputs!J16</f>
        <v>0</v>
      </c>
      <c r="K16" s="53">
        <f>+Inputs!M16</f>
        <v>14</v>
      </c>
      <c r="L16" s="53">
        <f t="shared" si="5"/>
        <v>21687954.015922211</v>
      </c>
      <c r="M16" s="37">
        <f t="shared" si="0"/>
        <v>-59885.674077790231</v>
      </c>
      <c r="N16" s="45">
        <f t="shared" si="1"/>
        <v>-2.7536378293852612E-3</v>
      </c>
      <c r="O16" s="12">
        <f t="shared" si="2"/>
        <v>2.7536378293852612E-3</v>
      </c>
      <c r="P16" s="12"/>
    </row>
    <row r="17" spans="1:25" x14ac:dyDescent="0.2">
      <c r="A17" s="3" t="str">
        <f t="shared" si="3"/>
        <v>20143</v>
      </c>
      <c r="B17" s="49">
        <f t="shared" si="4"/>
        <v>2014</v>
      </c>
      <c r="C17" s="52">
        <v>41729</v>
      </c>
      <c r="D17" s="53">
        <f>+Inputs!D17</f>
        <v>23077253.934999999</v>
      </c>
      <c r="E17" s="53">
        <f>VLOOKUP(A17,'[11]HDD CDD Summary'!$R:$T,2,FALSE)</f>
        <v>690.6</v>
      </c>
      <c r="F17" s="53">
        <f>VLOOKUP(A17,'[11]HDD CDD Summary'!$R:$T,3,FALSE)</f>
        <v>0</v>
      </c>
      <c r="G17" s="53">
        <f>+Inputs!G17</f>
        <v>31</v>
      </c>
      <c r="H17" s="105">
        <f t="shared" si="6"/>
        <v>0.33333333333333331</v>
      </c>
      <c r="I17" s="53">
        <f>+Inputs!I17</f>
        <v>336</v>
      </c>
      <c r="J17" s="53">
        <f>+Inputs!J17</f>
        <v>0</v>
      </c>
      <c r="K17" s="53">
        <f>+Inputs!M17</f>
        <v>15</v>
      </c>
      <c r="L17" s="53">
        <f t="shared" si="5"/>
        <v>22873690.856329236</v>
      </c>
      <c r="M17" s="37">
        <f t="shared" si="0"/>
        <v>-203563.07867076248</v>
      </c>
      <c r="N17" s="45">
        <f t="shared" si="1"/>
        <v>-8.8209402749618131E-3</v>
      </c>
      <c r="O17" s="12">
        <f t="shared" si="2"/>
        <v>8.8209402749618131E-3</v>
      </c>
      <c r="P17" s="12"/>
      <c r="Q17" s="76"/>
      <c r="R17" s="76" t="s">
        <v>35</v>
      </c>
      <c r="S17" s="76" t="s">
        <v>24</v>
      </c>
      <c r="T17" s="76" t="s">
        <v>36</v>
      </c>
      <c r="U17" s="76" t="s">
        <v>37</v>
      </c>
      <c r="V17" s="76" t="s">
        <v>38</v>
      </c>
      <c r="W17" s="76" t="s">
        <v>39</v>
      </c>
      <c r="X17" s="76" t="s">
        <v>105</v>
      </c>
      <c r="Y17" s="76" t="s">
        <v>106</v>
      </c>
    </row>
    <row r="18" spans="1:25" x14ac:dyDescent="0.2">
      <c r="A18" s="3" t="str">
        <f t="shared" si="3"/>
        <v>20144</v>
      </c>
      <c r="B18" s="49">
        <f t="shared" si="4"/>
        <v>2014</v>
      </c>
      <c r="C18" s="52">
        <v>41759</v>
      </c>
      <c r="D18" s="53">
        <f>+Inputs!D18</f>
        <v>20129764.705000002</v>
      </c>
      <c r="E18" s="53">
        <f>VLOOKUP(A18,'[11]HDD CDD Summary'!$R:$T,2,FALSE)</f>
        <v>356.90000000000003</v>
      </c>
      <c r="F18" s="53">
        <f>VLOOKUP(A18,'[11]HDD CDD Summary'!$R:$T,3,FALSE)</f>
        <v>0</v>
      </c>
      <c r="G18" s="53">
        <f>+Inputs!G18</f>
        <v>30</v>
      </c>
      <c r="H18" s="105">
        <f t="shared" si="6"/>
        <v>1</v>
      </c>
      <c r="I18" s="53">
        <f>+Inputs!I18</f>
        <v>336</v>
      </c>
      <c r="J18" s="53">
        <f>+Inputs!J18</f>
        <v>0</v>
      </c>
      <c r="K18" s="53">
        <f>+Inputs!M18</f>
        <v>16</v>
      </c>
      <c r="L18" s="53">
        <f t="shared" si="5"/>
        <v>20177813.639260929</v>
      </c>
      <c r="M18" s="37">
        <f t="shared" si="0"/>
        <v>48048.934260927141</v>
      </c>
      <c r="N18" s="45">
        <f t="shared" si="1"/>
        <v>2.3869595579024496E-3</v>
      </c>
      <c r="O18" s="12">
        <f t="shared" si="2"/>
        <v>2.3869595579024496E-3</v>
      </c>
      <c r="P18" s="12"/>
      <c r="Q18" t="s">
        <v>29</v>
      </c>
      <c r="R18" s="113">
        <v>2047147.0081127379</v>
      </c>
      <c r="S18" s="113">
        <v>1446328.9748517803</v>
      </c>
      <c r="T18" s="113">
        <v>1.4154089724452414</v>
      </c>
      <c r="U18" s="113">
        <v>0.1595172915722288</v>
      </c>
      <c r="V18" s="113">
        <v>-816242.68496037927</v>
      </c>
      <c r="W18" s="113">
        <v>4910536.7011858551</v>
      </c>
      <c r="X18" s="113">
        <v>-816242.68496037927</v>
      </c>
      <c r="Y18" s="113">
        <v>4910536.7011858551</v>
      </c>
    </row>
    <row r="19" spans="1:25" x14ac:dyDescent="0.2">
      <c r="A19" s="3" t="str">
        <f t="shared" si="3"/>
        <v>20145</v>
      </c>
      <c r="B19" s="49">
        <f t="shared" si="4"/>
        <v>2014</v>
      </c>
      <c r="C19" s="52">
        <v>41790</v>
      </c>
      <c r="D19" s="53">
        <f>+Inputs!D19</f>
        <v>19632003.695</v>
      </c>
      <c r="E19" s="53">
        <f>VLOOKUP(A19,'[11]HDD CDD Summary'!$R:$T,2,FALSE)</f>
        <v>132.10000000000005</v>
      </c>
      <c r="F19" s="53">
        <f>VLOOKUP(A19,'[11]HDD CDD Summary'!$R:$T,3,FALSE)</f>
        <v>11.9</v>
      </c>
      <c r="G19" s="53">
        <f>+Inputs!G19</f>
        <v>31</v>
      </c>
      <c r="H19" s="105">
        <f t="shared" si="6"/>
        <v>1</v>
      </c>
      <c r="I19" s="53">
        <f>+Inputs!I19</f>
        <v>336</v>
      </c>
      <c r="J19" s="53">
        <f>+Inputs!J19</f>
        <v>0</v>
      </c>
      <c r="K19" s="53">
        <f>+Inputs!M19</f>
        <v>17</v>
      </c>
      <c r="L19" s="53">
        <f t="shared" si="5"/>
        <v>19597802.632851865</v>
      </c>
      <c r="M19" s="37">
        <f t="shared" si="0"/>
        <v>-34201.062148135155</v>
      </c>
      <c r="N19" s="45">
        <f t="shared" si="1"/>
        <v>-1.7421075647436686E-3</v>
      </c>
      <c r="O19" s="12">
        <f t="shared" si="2"/>
        <v>1.7421075647436686E-3</v>
      </c>
      <c r="P19" s="12"/>
      <c r="Q19" t="s">
        <v>4</v>
      </c>
      <c r="R19" s="113">
        <v>5812.3485800302078</v>
      </c>
      <c r="S19" s="113">
        <v>265.71519775024262</v>
      </c>
      <c r="T19" s="113">
        <v>21.874355058507</v>
      </c>
      <c r="U19" s="113">
        <v>7.2533282621251701E-44</v>
      </c>
      <c r="V19" s="113">
        <v>5286.2952603773247</v>
      </c>
      <c r="W19" s="113">
        <v>6338.401899683091</v>
      </c>
      <c r="X19" s="113">
        <v>5286.2952603773247</v>
      </c>
      <c r="Y19" s="113">
        <v>6338.401899683091</v>
      </c>
    </row>
    <row r="20" spans="1:25" x14ac:dyDescent="0.2">
      <c r="A20" s="3" t="str">
        <f t="shared" si="3"/>
        <v>20146</v>
      </c>
      <c r="B20" s="49">
        <f t="shared" si="4"/>
        <v>2014</v>
      </c>
      <c r="C20" s="52">
        <v>41820</v>
      </c>
      <c r="D20" s="53">
        <f>+Inputs!D20</f>
        <v>20417295.370000001</v>
      </c>
      <c r="E20" s="53">
        <f>VLOOKUP(A20,'[11]HDD CDD Summary'!$R:$T,2,FALSE)</f>
        <v>14.1</v>
      </c>
      <c r="F20" s="53">
        <f>VLOOKUP(A20,'[11]HDD CDD Summary'!$R:$T,3,FALSE)</f>
        <v>68.099999999999994</v>
      </c>
      <c r="G20" s="53">
        <f>+Inputs!G20</f>
        <v>30</v>
      </c>
      <c r="H20" s="105">
        <f t="shared" si="6"/>
        <v>0.66666666666666663</v>
      </c>
      <c r="I20" s="53">
        <f>+Inputs!I20</f>
        <v>336</v>
      </c>
      <c r="J20" s="53">
        <f>+Inputs!J20</f>
        <v>0</v>
      </c>
      <c r="K20" s="53">
        <f>+Inputs!M20</f>
        <v>18</v>
      </c>
      <c r="L20" s="53">
        <f t="shared" si="5"/>
        <v>20055785.320521284</v>
      </c>
      <c r="M20" s="37">
        <f t="shared" si="0"/>
        <v>-361510.04947871715</v>
      </c>
      <c r="N20" s="45">
        <f t="shared" si="1"/>
        <v>-1.7706069434147445E-2</v>
      </c>
      <c r="O20" s="12">
        <f t="shared" si="2"/>
        <v>1.7706069434147445E-2</v>
      </c>
      <c r="P20" s="12"/>
      <c r="Q20" t="s">
        <v>5</v>
      </c>
      <c r="R20" s="113">
        <v>24445.586018494676</v>
      </c>
      <c r="S20" s="113">
        <v>1489.1787584371727</v>
      </c>
      <c r="T20" s="113">
        <v>16.415481271133118</v>
      </c>
      <c r="U20" s="113">
        <v>1.4328848198885017E-32</v>
      </c>
      <c r="V20" s="113">
        <v>21497.363876648</v>
      </c>
      <c r="W20" s="113">
        <v>27393.808160341352</v>
      </c>
      <c r="X20" s="113">
        <v>21497.363876648</v>
      </c>
      <c r="Y20" s="113">
        <v>27393.808160341352</v>
      </c>
    </row>
    <row r="21" spans="1:25" x14ac:dyDescent="0.2">
      <c r="A21" s="3" t="str">
        <f t="shared" si="3"/>
        <v>20147</v>
      </c>
      <c r="B21" s="49">
        <f t="shared" si="4"/>
        <v>2014</v>
      </c>
      <c r="C21" s="52">
        <v>41851</v>
      </c>
      <c r="D21" s="53">
        <f>+Inputs!D21</f>
        <v>20942891.695</v>
      </c>
      <c r="E21" s="53">
        <f>VLOOKUP(A21,'[11]HDD CDD Summary'!$R:$T,2,FALSE)</f>
        <v>4</v>
      </c>
      <c r="F21" s="53">
        <f>VLOOKUP(A21,'[11]HDD CDD Summary'!$R:$T,3,FALSE)</f>
        <v>71</v>
      </c>
      <c r="G21" s="53">
        <f>+Inputs!G21</f>
        <v>31</v>
      </c>
      <c r="H21" s="105">
        <f t="shared" si="6"/>
        <v>0</v>
      </c>
      <c r="I21" s="53">
        <f>+Inputs!I21</f>
        <v>352</v>
      </c>
      <c r="J21" s="53">
        <f>+Inputs!J21</f>
        <v>0</v>
      </c>
      <c r="K21" s="53">
        <f>+Inputs!M21</f>
        <v>19</v>
      </c>
      <c r="L21" s="53">
        <f t="shared" si="5"/>
        <v>21031840.188133158</v>
      </c>
      <c r="M21" s="37">
        <f t="shared" si="0"/>
        <v>88948.493133157492</v>
      </c>
      <c r="N21" s="45">
        <f t="shared" si="1"/>
        <v>4.2471925285462583E-3</v>
      </c>
      <c r="O21" s="12">
        <f t="shared" si="2"/>
        <v>4.2471925285462583E-3</v>
      </c>
      <c r="P21" s="12"/>
      <c r="Q21" t="s">
        <v>6</v>
      </c>
      <c r="R21" s="113">
        <v>420568.0277416638</v>
      </c>
      <c r="S21" s="113">
        <v>54005.067660489563</v>
      </c>
      <c r="T21" s="113">
        <v>7.7875659815042493</v>
      </c>
      <c r="U21" s="113">
        <v>2.6085701075388535E-12</v>
      </c>
      <c r="V21" s="113">
        <v>313650.75179577508</v>
      </c>
      <c r="W21" s="113">
        <v>527485.30368755246</v>
      </c>
      <c r="X21" s="113">
        <v>313650.75179577508</v>
      </c>
      <c r="Y21" s="113">
        <v>527485.30368755246</v>
      </c>
    </row>
    <row r="22" spans="1:25" x14ac:dyDescent="0.2">
      <c r="A22" s="3" t="str">
        <f t="shared" si="3"/>
        <v>20148</v>
      </c>
      <c r="B22" s="49">
        <f t="shared" si="4"/>
        <v>2014</v>
      </c>
      <c r="C22" s="52">
        <v>41882</v>
      </c>
      <c r="D22" s="53">
        <f>+Inputs!D22</f>
        <v>20954818.989999998</v>
      </c>
      <c r="E22" s="53">
        <f>VLOOKUP(A22,'[11]HDD CDD Summary'!$R:$T,2,FALSE)</f>
        <v>8.7999999999999989</v>
      </c>
      <c r="F22" s="53">
        <f>VLOOKUP(A22,'[11]HDD CDD Summary'!$R:$T,3,FALSE)</f>
        <v>81.799999999999983</v>
      </c>
      <c r="G22" s="53">
        <f>+Inputs!G22</f>
        <v>31</v>
      </c>
      <c r="H22" s="105">
        <f t="shared" si="6"/>
        <v>0</v>
      </c>
      <c r="I22" s="53">
        <f>+Inputs!I22</f>
        <v>336</v>
      </c>
      <c r="J22" s="53">
        <f>+Inputs!J22</f>
        <v>0</v>
      </c>
      <c r="K22" s="53">
        <f>+Inputs!M22</f>
        <v>20</v>
      </c>
      <c r="L22" s="53">
        <f t="shared" si="5"/>
        <v>21161584.256472655</v>
      </c>
      <c r="M22" s="37">
        <f t="shared" si="0"/>
        <v>206765.26647265628</v>
      </c>
      <c r="N22" s="45">
        <f t="shared" si="1"/>
        <v>9.8671941080153563E-3</v>
      </c>
      <c r="O22" s="12">
        <f t="shared" si="2"/>
        <v>9.8671941080153563E-3</v>
      </c>
      <c r="P22" s="12"/>
      <c r="Q22" t="s">
        <v>18</v>
      </c>
      <c r="R22" s="113">
        <v>-526294.38178580569</v>
      </c>
      <c r="S22" s="113">
        <v>130284.16228637649</v>
      </c>
      <c r="T22" s="113">
        <v>-4.0395883317648584</v>
      </c>
      <c r="U22" s="113">
        <v>9.4408620402983024E-5</v>
      </c>
      <c r="V22" s="113">
        <v>-784226.2451087446</v>
      </c>
      <c r="W22" s="113">
        <v>-268362.51846286678</v>
      </c>
      <c r="X22" s="113">
        <v>-784226.2451087446</v>
      </c>
      <c r="Y22" s="113">
        <v>-268362.51846286678</v>
      </c>
    </row>
    <row r="23" spans="1:25" x14ac:dyDescent="0.2">
      <c r="A23" s="3" t="str">
        <f t="shared" si="3"/>
        <v>20149</v>
      </c>
      <c r="B23" s="49">
        <f t="shared" si="4"/>
        <v>2014</v>
      </c>
      <c r="C23" s="52">
        <v>41912</v>
      </c>
      <c r="D23" s="53">
        <f>+Inputs!D23</f>
        <v>20036155.765000001</v>
      </c>
      <c r="E23" s="53">
        <f>VLOOKUP(A23,'[11]HDD CDD Summary'!$R:$T,2,FALSE)</f>
        <v>69.700000000000017</v>
      </c>
      <c r="F23" s="53">
        <f>VLOOKUP(A23,'[11]HDD CDD Summary'!$R:$T,3,FALSE)</f>
        <v>30.099999999999998</v>
      </c>
      <c r="G23" s="53">
        <f>+Inputs!G23</f>
        <v>30</v>
      </c>
      <c r="H23" s="105">
        <f t="shared" si="6"/>
        <v>0.33333333333333331</v>
      </c>
      <c r="I23" s="53">
        <f>+Inputs!I23</f>
        <v>336</v>
      </c>
      <c r="J23" s="53">
        <f>+Inputs!J23</f>
        <v>0</v>
      </c>
      <c r="K23" s="53">
        <f>+Inputs!M23</f>
        <v>21</v>
      </c>
      <c r="L23" s="53">
        <f t="shared" si="5"/>
        <v>19670854.452523358</v>
      </c>
      <c r="M23" s="37">
        <f t="shared" si="0"/>
        <v>-365301.31247664243</v>
      </c>
      <c r="N23" s="45">
        <f t="shared" si="1"/>
        <v>-1.8232105837127005E-2</v>
      </c>
      <c r="O23" s="12">
        <f t="shared" si="2"/>
        <v>1.8232105837127005E-2</v>
      </c>
      <c r="P23" s="12"/>
      <c r="Q23" t="s">
        <v>7</v>
      </c>
      <c r="R23" s="113">
        <v>11081.37417902288</v>
      </c>
      <c r="S23" s="113">
        <v>2510.8297716363045</v>
      </c>
      <c r="T23" s="113">
        <v>4.4134310912687491</v>
      </c>
      <c r="U23" s="113">
        <v>2.2238654028005791E-5</v>
      </c>
      <c r="V23" s="113">
        <v>6110.5243833176519</v>
      </c>
      <c r="W23" s="113">
        <v>16052.223974728107</v>
      </c>
      <c r="X23" s="113">
        <v>6110.5243833176519</v>
      </c>
      <c r="Y23" s="113">
        <v>16052.223974728107</v>
      </c>
    </row>
    <row r="24" spans="1:25" x14ac:dyDescent="0.2">
      <c r="A24" s="3" t="str">
        <f t="shared" si="3"/>
        <v>201410</v>
      </c>
      <c r="B24" s="49">
        <f t="shared" si="4"/>
        <v>2014</v>
      </c>
      <c r="C24" s="52">
        <v>41943</v>
      </c>
      <c r="D24" s="53">
        <f>+Inputs!D24</f>
        <v>20750967.593591224</v>
      </c>
      <c r="E24" s="53">
        <f>VLOOKUP(A24,'[11]HDD CDD Summary'!$R:$T,2,FALSE)</f>
        <v>224.30000000000004</v>
      </c>
      <c r="F24" s="53">
        <f>VLOOKUP(A24,'[11]HDD CDD Summary'!$R:$T,3,FALSE)</f>
        <v>1.3</v>
      </c>
      <c r="G24" s="53">
        <f>+Inputs!G24</f>
        <v>31</v>
      </c>
      <c r="H24" s="105">
        <f t="shared" si="6"/>
        <v>1</v>
      </c>
      <c r="I24" s="53">
        <f>+Inputs!I24</f>
        <v>352</v>
      </c>
      <c r="J24" s="53">
        <f>+Inputs!J24</f>
        <v>0</v>
      </c>
      <c r="K24" s="53">
        <f>+Inputs!M24</f>
        <v>22</v>
      </c>
      <c r="L24" s="53">
        <f t="shared" si="5"/>
        <v>20127552.212098856</v>
      </c>
      <c r="M24" s="37">
        <f t="shared" si="0"/>
        <v>-623415.38149236888</v>
      </c>
      <c r="N24" s="45">
        <f t="shared" si="1"/>
        <v>-3.0042713848433066E-2</v>
      </c>
      <c r="O24" s="12">
        <f t="shared" si="2"/>
        <v>3.0042713848433066E-2</v>
      </c>
      <c r="P24" s="12"/>
      <c r="Q24" t="s">
        <v>144</v>
      </c>
      <c r="R24" s="113">
        <v>-2321458.3690313813</v>
      </c>
      <c r="S24" s="113">
        <v>436829.35023958178</v>
      </c>
      <c r="T24" s="113">
        <v>-5.3143369779483978</v>
      </c>
      <c r="U24" s="113">
        <v>4.9569089018253281E-7</v>
      </c>
      <c r="V24" s="113">
        <v>-3186277.2870344785</v>
      </c>
      <c r="W24" s="113">
        <v>-1456639.4510282842</v>
      </c>
      <c r="X24" s="113">
        <v>-3186277.2870344785</v>
      </c>
      <c r="Y24" s="113">
        <v>-1456639.4510282842</v>
      </c>
    </row>
    <row r="25" spans="1:25" ht="13.5" thickBot="1" x14ac:dyDescent="0.25">
      <c r="A25" s="3" t="str">
        <f t="shared" si="3"/>
        <v>201411</v>
      </c>
      <c r="B25" s="49">
        <f t="shared" si="4"/>
        <v>2014</v>
      </c>
      <c r="C25" s="52">
        <v>41973</v>
      </c>
      <c r="D25" s="53">
        <f>+Inputs!D25</f>
        <v>21634719.905000001</v>
      </c>
      <c r="E25" s="53">
        <f>VLOOKUP(A25,'[11]HDD CDD Summary'!$R:$T,2,FALSE)</f>
        <v>482.1</v>
      </c>
      <c r="F25" s="53">
        <f>VLOOKUP(A25,'[11]HDD CDD Summary'!$R:$T,3,FALSE)</f>
        <v>0</v>
      </c>
      <c r="G25" s="53">
        <f>+Inputs!G25</f>
        <v>30</v>
      </c>
      <c r="H25" s="105">
        <f t="shared" si="6"/>
        <v>1</v>
      </c>
      <c r="I25" s="53">
        <f>+Inputs!I25</f>
        <v>320</v>
      </c>
      <c r="J25" s="53">
        <f>+Inputs!J25</f>
        <v>0</v>
      </c>
      <c r="K25" s="53">
        <f>+Inputs!M25</f>
        <v>23</v>
      </c>
      <c r="L25" s="53">
        <f t="shared" si="5"/>
        <v>20834158.865756176</v>
      </c>
      <c r="M25" s="37">
        <f t="shared" si="0"/>
        <v>-800561.03924382478</v>
      </c>
      <c r="N25" s="45">
        <f t="shared" si="1"/>
        <v>-3.700353148823559E-2</v>
      </c>
      <c r="O25" s="12">
        <f t="shared" si="2"/>
        <v>3.700353148823559E-2</v>
      </c>
      <c r="P25" s="12"/>
      <c r="Q25" s="90" t="s">
        <v>70</v>
      </c>
      <c r="R25" s="114">
        <v>15134.453019975965</v>
      </c>
      <c r="S25" s="114">
        <v>1025.1797641226826</v>
      </c>
      <c r="T25" s="114">
        <v>14.76273093717136</v>
      </c>
      <c r="U25" s="114">
        <v>7.75936470914612E-29</v>
      </c>
      <c r="V25" s="114">
        <v>13104.839272912059</v>
      </c>
      <c r="W25" s="114">
        <v>17164.066767039869</v>
      </c>
      <c r="X25" s="114">
        <v>13104.839272912059</v>
      </c>
      <c r="Y25" s="114">
        <v>17164.066767039869</v>
      </c>
    </row>
    <row r="26" spans="1:25" x14ac:dyDescent="0.2">
      <c r="A26" s="3" t="str">
        <f t="shared" si="3"/>
        <v>201412</v>
      </c>
      <c r="B26" s="49">
        <f t="shared" si="4"/>
        <v>2014</v>
      </c>
      <c r="C26" s="52">
        <v>42004</v>
      </c>
      <c r="D26" s="53">
        <f>+Inputs!D26</f>
        <v>22349924.59</v>
      </c>
      <c r="E26" s="53">
        <f>VLOOKUP(A26,'[11]HDD CDD Summary'!$R:$T,2,FALSE)</f>
        <v>557.29999999999995</v>
      </c>
      <c r="F26" s="53">
        <f>VLOOKUP(A26,'[11]HDD CDD Summary'!$R:$T,3,FALSE)</f>
        <v>0</v>
      </c>
      <c r="G26" s="53">
        <f>+Inputs!G26</f>
        <v>31</v>
      </c>
      <c r="H26" s="105">
        <f t="shared" si="6"/>
        <v>0.66666666666666663</v>
      </c>
      <c r="I26" s="53">
        <f>+Inputs!I26</f>
        <v>336</v>
      </c>
      <c r="J26" s="53">
        <f>+Inputs!J26</f>
        <v>0</v>
      </c>
      <c r="K26" s="53">
        <f>+Inputs!M26</f>
        <v>24</v>
      </c>
      <c r="L26" s="53">
        <f t="shared" si="5"/>
        <v>22059683.407195725</v>
      </c>
      <c r="M26" s="37">
        <f t="shared" si="0"/>
        <v>-290241.1828042753</v>
      </c>
      <c r="N26" s="45">
        <f t="shared" si="1"/>
        <v>-1.2986226491973828E-2</v>
      </c>
      <c r="O26" s="12">
        <f t="shared" si="2"/>
        <v>1.2986226491973828E-2</v>
      </c>
      <c r="P26" s="12"/>
    </row>
    <row r="27" spans="1:25" x14ac:dyDescent="0.2">
      <c r="A27" s="3" t="str">
        <f t="shared" si="3"/>
        <v>20151</v>
      </c>
      <c r="B27" s="49">
        <f t="shared" si="4"/>
        <v>2015</v>
      </c>
      <c r="C27" s="52">
        <v>42035</v>
      </c>
      <c r="D27" s="53">
        <f>+Inputs!D27</f>
        <v>24334160.370000001</v>
      </c>
      <c r="E27" s="53">
        <f>VLOOKUP(A27,'[11]HDD CDD Summary'!$R:$T,2,FALSE)</f>
        <v>792.39999999999975</v>
      </c>
      <c r="F27" s="53">
        <f>VLOOKUP(A27,'[11]HDD CDD Summary'!$R:$T,3,FALSE)</f>
        <v>0</v>
      </c>
      <c r="G27" s="53">
        <f>+Inputs!G27</f>
        <v>31</v>
      </c>
      <c r="H27" s="105">
        <f t="shared" si="6"/>
        <v>0</v>
      </c>
      <c r="I27" s="53">
        <f>+Inputs!I27</f>
        <v>336</v>
      </c>
      <c r="J27" s="53">
        <f>+Inputs!J27</f>
        <v>0</v>
      </c>
      <c r="K27" s="53">
        <f>+Inputs!M27</f>
        <v>25</v>
      </c>
      <c r="L27" s="53">
        <f t="shared" si="5"/>
        <v>23792163.932571337</v>
      </c>
      <c r="M27" s="37">
        <f t="shared" si="0"/>
        <v>-541996.43742866442</v>
      </c>
      <c r="N27" s="45">
        <f t="shared" si="1"/>
        <v>-2.2273069182894695E-2</v>
      </c>
      <c r="O27" s="12">
        <f t="shared" si="2"/>
        <v>2.2273069182894695E-2</v>
      </c>
    </row>
    <row r="28" spans="1:25" x14ac:dyDescent="0.2">
      <c r="A28" s="3" t="str">
        <f t="shared" si="3"/>
        <v>20152</v>
      </c>
      <c r="B28" s="49">
        <f t="shared" si="4"/>
        <v>2015</v>
      </c>
      <c r="C28" s="52">
        <v>42063</v>
      </c>
      <c r="D28" s="53">
        <f>+Inputs!D28</f>
        <v>22733400.235000003</v>
      </c>
      <c r="E28" s="53">
        <f>VLOOKUP(A28,'[11]HDD CDD Summary'!$R:$T,2,FALSE)</f>
        <v>856.8</v>
      </c>
      <c r="F28" s="53">
        <f>VLOOKUP(A28,'[11]HDD CDD Summary'!$R:$T,3,FALSE)</f>
        <v>0</v>
      </c>
      <c r="G28" s="53">
        <f>+Inputs!G28</f>
        <v>28</v>
      </c>
      <c r="H28" s="105">
        <f t="shared" si="6"/>
        <v>0</v>
      </c>
      <c r="I28" s="53">
        <f>+Inputs!I28</f>
        <v>304</v>
      </c>
      <c r="J28" s="53">
        <f>+Inputs!J28</f>
        <v>0</v>
      </c>
      <c r="K28" s="53">
        <f>+Inputs!M28</f>
        <v>26</v>
      </c>
      <c r="L28" s="53">
        <f t="shared" si="5"/>
        <v>22565305.577191535</v>
      </c>
      <c r="M28" s="37">
        <f t="shared" si="0"/>
        <v>-168094.65780846775</v>
      </c>
      <c r="N28" s="45">
        <f t="shared" si="1"/>
        <v>-7.3941713985078098E-3</v>
      </c>
      <c r="O28" s="12">
        <f t="shared" si="2"/>
        <v>7.3941713985078098E-3</v>
      </c>
    </row>
    <row r="29" spans="1:25" x14ac:dyDescent="0.2">
      <c r="A29" s="3" t="str">
        <f t="shared" si="3"/>
        <v>20153</v>
      </c>
      <c r="B29" s="49">
        <f t="shared" si="4"/>
        <v>2015</v>
      </c>
      <c r="C29" s="52">
        <v>42094</v>
      </c>
      <c r="D29" s="53">
        <f>+Inputs!D29</f>
        <v>22719770.995000001</v>
      </c>
      <c r="E29" s="53">
        <f>VLOOKUP(A29,'[11]HDD CDD Summary'!$R:$T,2,FALSE)</f>
        <v>615.49999999999989</v>
      </c>
      <c r="F29" s="53">
        <f>VLOOKUP(A29,'[11]HDD CDD Summary'!$R:$T,3,FALSE)</f>
        <v>0</v>
      </c>
      <c r="G29" s="53">
        <f>+Inputs!G29</f>
        <v>31</v>
      </c>
      <c r="H29" s="105">
        <f t="shared" si="6"/>
        <v>0.33333333333333331</v>
      </c>
      <c r="I29" s="53">
        <f>+Inputs!I29</f>
        <v>352</v>
      </c>
      <c r="J29" s="53">
        <f>+Inputs!J29</f>
        <v>0</v>
      </c>
      <c r="K29" s="53">
        <f>+Inputs!M29</f>
        <v>27</v>
      </c>
      <c r="L29" s="53">
        <f t="shared" si="5"/>
        <v>22796098.901073046</v>
      </c>
      <c r="M29" s="37">
        <f t="shared" si="0"/>
        <v>76327.906073044986</v>
      </c>
      <c r="N29" s="45">
        <f t="shared" si="1"/>
        <v>3.359536770412108E-3</v>
      </c>
      <c r="O29" s="12">
        <f t="shared" si="2"/>
        <v>3.359536770412108E-3</v>
      </c>
    </row>
    <row r="30" spans="1:25" x14ac:dyDescent="0.2">
      <c r="A30" s="3" t="str">
        <f t="shared" si="3"/>
        <v>20154</v>
      </c>
      <c r="B30" s="49">
        <f t="shared" si="4"/>
        <v>2015</v>
      </c>
      <c r="C30" s="52">
        <v>42124</v>
      </c>
      <c r="D30" s="53">
        <f>+Inputs!D30</f>
        <v>19884327.555</v>
      </c>
      <c r="E30" s="53">
        <f>VLOOKUP(A30,'[11]HDD CDD Summary'!$R:$T,2,FALSE)</f>
        <v>313.7</v>
      </c>
      <c r="F30" s="53">
        <f>VLOOKUP(A30,'[11]HDD CDD Summary'!$R:$T,3,FALSE)</f>
        <v>0</v>
      </c>
      <c r="G30" s="53">
        <f>+Inputs!G30</f>
        <v>30</v>
      </c>
      <c r="H30" s="105">
        <f t="shared" si="6"/>
        <v>1</v>
      </c>
      <c r="I30" s="53">
        <f>+Inputs!I30</f>
        <v>336</v>
      </c>
      <c r="J30" s="53">
        <f>+Inputs!J30</f>
        <v>0</v>
      </c>
      <c r="K30" s="53">
        <f>+Inputs!M30</f>
        <v>28</v>
      </c>
      <c r="L30" s="53">
        <f t="shared" si="5"/>
        <v>20108333.616843335</v>
      </c>
      <c r="M30" s="37">
        <f t="shared" si="0"/>
        <v>224006.06184333563</v>
      </c>
      <c r="N30" s="45">
        <f t="shared" si="1"/>
        <v>1.1265458247141395E-2</v>
      </c>
      <c r="O30" s="12">
        <f t="shared" si="2"/>
        <v>1.1265458247141395E-2</v>
      </c>
      <c r="Q30" t="s">
        <v>19</v>
      </c>
      <c r="R30" s="223" t="s">
        <v>273</v>
      </c>
    </row>
    <row r="31" spans="1:25" x14ac:dyDescent="0.2">
      <c r="A31" s="3" t="str">
        <f t="shared" si="3"/>
        <v>20155</v>
      </c>
      <c r="B31" s="49">
        <f t="shared" si="4"/>
        <v>2015</v>
      </c>
      <c r="C31" s="52">
        <v>42155</v>
      </c>
      <c r="D31" s="53">
        <f>+Inputs!D31</f>
        <v>20081857.650000002</v>
      </c>
      <c r="E31" s="53">
        <f>VLOOKUP(A31,'[11]HDD CDD Summary'!$R:$T,2,FALSE)</f>
        <v>89.3</v>
      </c>
      <c r="F31" s="53">
        <f>VLOOKUP(A31,'[11]HDD CDD Summary'!$R:$T,3,FALSE)</f>
        <v>34.1</v>
      </c>
      <c r="G31" s="53">
        <f>+Inputs!G31</f>
        <v>31</v>
      </c>
      <c r="H31" s="105">
        <f t="shared" si="6"/>
        <v>1</v>
      </c>
      <c r="I31" s="53">
        <f>+Inputs!I31</f>
        <v>320</v>
      </c>
      <c r="J31" s="53">
        <f>+Inputs!J31</f>
        <v>0</v>
      </c>
      <c r="K31" s="53">
        <f>+Inputs!M31</f>
        <v>29</v>
      </c>
      <c r="L31" s="53">
        <f t="shared" si="5"/>
        <v>19896037.572612502</v>
      </c>
      <c r="M31" s="37">
        <f t="shared" si="0"/>
        <v>-185820.07738750055</v>
      </c>
      <c r="N31" s="45">
        <f t="shared" si="1"/>
        <v>-9.2531318878012522E-3</v>
      </c>
      <c r="O31" s="12">
        <f t="shared" si="2"/>
        <v>9.2531318878012522E-3</v>
      </c>
    </row>
    <row r="32" spans="1:25" x14ac:dyDescent="0.2">
      <c r="A32" s="3" t="str">
        <f t="shared" si="3"/>
        <v>20156</v>
      </c>
      <c r="B32" s="49">
        <f t="shared" si="4"/>
        <v>2015</v>
      </c>
      <c r="C32" s="52">
        <v>42185</v>
      </c>
      <c r="D32" s="53">
        <f>+Inputs!D32</f>
        <v>19967931.074999999</v>
      </c>
      <c r="E32" s="53">
        <f>VLOOKUP(A32,'[11]HDD CDD Summary'!$R:$T,2,FALSE)</f>
        <v>33.800000000000004</v>
      </c>
      <c r="F32" s="53">
        <f>VLOOKUP(A32,'[11]HDD CDD Summary'!$R:$T,3,FALSE)</f>
        <v>32.299999999999997</v>
      </c>
      <c r="G32" s="53">
        <f>+Inputs!G32</f>
        <v>30</v>
      </c>
      <c r="H32" s="105">
        <f t="shared" si="6"/>
        <v>0.66666666666666663</v>
      </c>
      <c r="I32" s="53">
        <f>+Inputs!I32</f>
        <v>352</v>
      </c>
      <c r="J32" s="53">
        <f>+Inputs!J32</f>
        <v>0</v>
      </c>
      <c r="K32" s="53">
        <f>+Inputs!M32</f>
        <v>30</v>
      </c>
      <c r="L32" s="53">
        <f t="shared" si="5"/>
        <v>19654052.031189848</v>
      </c>
      <c r="M32" s="37">
        <f t="shared" si="0"/>
        <v>-313879.04381015152</v>
      </c>
      <c r="N32" s="45">
        <f t="shared" si="1"/>
        <v>-1.5719157013874635E-2</v>
      </c>
      <c r="O32" s="12">
        <f t="shared" si="2"/>
        <v>1.5719157013874635E-2</v>
      </c>
      <c r="Q32" s="76" t="s">
        <v>20</v>
      </c>
      <c r="R32" s="76"/>
    </row>
    <row r="33" spans="1:25" x14ac:dyDescent="0.2">
      <c r="A33" s="3" t="str">
        <f t="shared" si="3"/>
        <v>20157</v>
      </c>
      <c r="B33" s="49">
        <f t="shared" si="4"/>
        <v>2015</v>
      </c>
      <c r="C33" s="52">
        <v>42216</v>
      </c>
      <c r="D33" s="53">
        <f>+Inputs!D33</f>
        <v>22033398.199999999</v>
      </c>
      <c r="E33" s="53">
        <f>VLOOKUP(A33,'[11]HDD CDD Summary'!$R:$T,2,FALSE)</f>
        <v>4</v>
      </c>
      <c r="F33" s="53">
        <f>VLOOKUP(A33,'[11]HDD CDD Summary'!$R:$T,3,FALSE)</f>
        <v>114.29999999999998</v>
      </c>
      <c r="G33" s="53">
        <f>+Inputs!G33</f>
        <v>31</v>
      </c>
      <c r="H33" s="105">
        <f t="shared" si="6"/>
        <v>0</v>
      </c>
      <c r="I33" s="53">
        <f>+Inputs!I33</f>
        <v>352</v>
      </c>
      <c r="J33" s="53">
        <f>+Inputs!J33</f>
        <v>0</v>
      </c>
      <c r="K33" s="53">
        <f>+Inputs!M33</f>
        <v>31</v>
      </c>
      <c r="L33" s="53">
        <f t="shared" si="5"/>
        <v>22271947.49897369</v>
      </c>
      <c r="M33" s="37">
        <f t="shared" si="0"/>
        <v>238549.29897369072</v>
      </c>
      <c r="N33" s="45">
        <f t="shared" si="1"/>
        <v>1.0826713918949222E-2</v>
      </c>
      <c r="O33" s="12">
        <f t="shared" si="2"/>
        <v>1.0826713918949222E-2</v>
      </c>
      <c r="P33"/>
      <c r="Q33" t="s">
        <v>21</v>
      </c>
      <c r="R33" s="112">
        <v>0.96027576185823249</v>
      </c>
    </row>
    <row r="34" spans="1:25" x14ac:dyDescent="0.2">
      <c r="A34" s="3" t="str">
        <f t="shared" si="3"/>
        <v>20158</v>
      </c>
      <c r="B34" s="49">
        <f t="shared" si="4"/>
        <v>2015</v>
      </c>
      <c r="C34" s="52">
        <v>42247</v>
      </c>
      <c r="D34" s="53">
        <f>+Inputs!D34</f>
        <v>21201546.775000002</v>
      </c>
      <c r="E34" s="53">
        <f>VLOOKUP(A34,'[11]HDD CDD Summary'!$R:$T,2,FALSE)</f>
        <v>4.4000000000000004</v>
      </c>
      <c r="F34" s="53">
        <f>VLOOKUP(A34,'[11]HDD CDD Summary'!$R:$T,3,FALSE)</f>
        <v>88.6</v>
      </c>
      <c r="G34" s="53">
        <f>+Inputs!G34</f>
        <v>31</v>
      </c>
      <c r="H34" s="105">
        <f t="shared" si="6"/>
        <v>0</v>
      </c>
      <c r="I34" s="53">
        <f>+Inputs!I34</f>
        <v>336</v>
      </c>
      <c r="J34" s="53">
        <f>+Inputs!J34</f>
        <v>0</v>
      </c>
      <c r="K34" s="53">
        <f>+Inputs!M34</f>
        <v>32</v>
      </c>
      <c r="L34" s="53">
        <f t="shared" si="5"/>
        <v>21483853.343885995</v>
      </c>
      <c r="M34" s="37">
        <f t="shared" si="0"/>
        <v>282306.56888599321</v>
      </c>
      <c r="N34" s="45">
        <f t="shared" si="1"/>
        <v>1.3315376084676877E-2</v>
      </c>
      <c r="O34" s="12">
        <f t="shared" si="2"/>
        <v>1.3315376084676877E-2</v>
      </c>
      <c r="P34"/>
      <c r="Q34" t="s">
        <v>22</v>
      </c>
      <c r="R34" s="112">
        <v>0.92212953881240878</v>
      </c>
    </row>
    <row r="35" spans="1:25" x14ac:dyDescent="0.2">
      <c r="A35" s="3" t="str">
        <f t="shared" si="3"/>
        <v>20159</v>
      </c>
      <c r="B35" s="49">
        <f t="shared" si="4"/>
        <v>2015</v>
      </c>
      <c r="C35" s="52">
        <v>42277</v>
      </c>
      <c r="D35" s="53">
        <f>+Inputs!D35</f>
        <v>21227652.564999998</v>
      </c>
      <c r="E35" s="53">
        <f>VLOOKUP(A35,'[11]HDD CDD Summary'!$R:$T,2,FALSE)</f>
        <v>31.099999999999994</v>
      </c>
      <c r="F35" s="53">
        <f>VLOOKUP(A35,'[11]HDD CDD Summary'!$R:$T,3,FALSE)</f>
        <v>81.900000000000006</v>
      </c>
      <c r="G35" s="53">
        <f>+Inputs!G35</f>
        <v>30</v>
      </c>
      <c r="H35" s="105">
        <f t="shared" si="6"/>
        <v>0.33333333333333331</v>
      </c>
      <c r="I35" s="53">
        <f>+Inputs!I35</f>
        <v>336</v>
      </c>
      <c r="J35" s="53">
        <f>+Inputs!J35</f>
        <v>0</v>
      </c>
      <c r="K35" s="53">
        <f>+Inputs!M35</f>
        <v>33</v>
      </c>
      <c r="L35" s="53">
        <f t="shared" si="5"/>
        <v>20894392.589331932</v>
      </c>
      <c r="M35" s="37">
        <f t="shared" ref="M35:M66" si="7">L35-D35</f>
        <v>-333259.97566806525</v>
      </c>
      <c r="N35" s="45">
        <f t="shared" ref="N35:N66" si="8">M35/D35</f>
        <v>-1.5699332493200022E-2</v>
      </c>
      <c r="O35" s="12">
        <f t="shared" si="2"/>
        <v>1.5699332493200022E-2</v>
      </c>
      <c r="P35"/>
      <c r="Q35" t="s">
        <v>23</v>
      </c>
      <c r="R35" s="112">
        <v>0.91726263498818439</v>
      </c>
    </row>
    <row r="36" spans="1:25" x14ac:dyDescent="0.2">
      <c r="A36" s="3" t="str">
        <f t="shared" si="3"/>
        <v>201510</v>
      </c>
      <c r="B36" s="49">
        <f t="shared" si="4"/>
        <v>2015</v>
      </c>
      <c r="C36" s="52">
        <v>42308</v>
      </c>
      <c r="D36" s="53">
        <f>+Inputs!D36</f>
        <v>20191537.286509268</v>
      </c>
      <c r="E36" s="53">
        <f>VLOOKUP(A36,'[11]HDD CDD Summary'!$R:$T,2,FALSE)</f>
        <v>249.8</v>
      </c>
      <c r="F36" s="53">
        <f>VLOOKUP(A36,'[11]HDD CDD Summary'!$R:$T,3,FALSE)</f>
        <v>0</v>
      </c>
      <c r="G36" s="53">
        <f>+Inputs!G36</f>
        <v>31</v>
      </c>
      <c r="H36" s="105">
        <f t="shared" si="6"/>
        <v>1</v>
      </c>
      <c r="I36" s="53">
        <f>+Inputs!I36</f>
        <v>336</v>
      </c>
      <c r="J36" s="53">
        <f>+Inputs!J36</f>
        <v>0</v>
      </c>
      <c r="K36" s="53">
        <f>+Inputs!M36</f>
        <v>34</v>
      </c>
      <c r="L36" s="53">
        <f t="shared" si="5"/>
        <v>20248299.288440928</v>
      </c>
      <c r="M36" s="37">
        <f t="shared" si="7"/>
        <v>56762.001931659877</v>
      </c>
      <c r="N36" s="45">
        <f t="shared" si="8"/>
        <v>2.8111778279301561E-3</v>
      </c>
      <c r="O36" s="12">
        <f t="shared" si="2"/>
        <v>2.8111778279301561E-3</v>
      </c>
      <c r="P36"/>
      <c r="Q36" t="s">
        <v>24</v>
      </c>
      <c r="R36" s="113">
        <v>423990.96531623346</v>
      </c>
    </row>
    <row r="37" spans="1:25" ht="13.5" thickBot="1" x14ac:dyDescent="0.25">
      <c r="A37" s="3" t="str">
        <f t="shared" si="3"/>
        <v>201511</v>
      </c>
      <c r="B37" s="49">
        <f t="shared" si="4"/>
        <v>2015</v>
      </c>
      <c r="C37" s="52">
        <v>42338</v>
      </c>
      <c r="D37" s="53">
        <f>+Inputs!D37</f>
        <v>20615659.954999998</v>
      </c>
      <c r="E37" s="53">
        <f>VLOOKUP(A37,'[11]HDD CDD Summary'!$R:$T,2,FALSE)</f>
        <v>345</v>
      </c>
      <c r="F37" s="53">
        <f>VLOOKUP(A37,'[11]HDD CDD Summary'!$R:$T,3,FALSE)</f>
        <v>0</v>
      </c>
      <c r="G37" s="53">
        <f>+Inputs!G37</f>
        <v>30</v>
      </c>
      <c r="H37" s="105">
        <f t="shared" si="6"/>
        <v>1</v>
      </c>
      <c r="I37" s="53">
        <f>+Inputs!I37</f>
        <v>336</v>
      </c>
      <c r="J37" s="53">
        <f>+Inputs!J37</f>
        <v>0</v>
      </c>
      <c r="K37" s="53">
        <f>+Inputs!M37</f>
        <v>35</v>
      </c>
      <c r="L37" s="53">
        <f t="shared" si="5"/>
        <v>20396201.298538111</v>
      </c>
      <c r="M37" s="37">
        <f t="shared" si="7"/>
        <v>-219458.65646188706</v>
      </c>
      <c r="N37" s="45">
        <f t="shared" si="8"/>
        <v>-1.0645240411460167E-2</v>
      </c>
      <c r="O37" s="12">
        <f t="shared" si="2"/>
        <v>1.0645240411460167E-2</v>
      </c>
      <c r="P37"/>
      <c r="Q37" s="90" t="s">
        <v>25</v>
      </c>
      <c r="R37" s="90">
        <v>120</v>
      </c>
    </row>
    <row r="38" spans="1:25" x14ac:dyDescent="0.2">
      <c r="A38" s="3" t="str">
        <f t="shared" si="3"/>
        <v>201512</v>
      </c>
      <c r="B38" s="49">
        <f t="shared" si="4"/>
        <v>2015</v>
      </c>
      <c r="C38" s="52">
        <v>42369</v>
      </c>
      <c r="D38" s="53">
        <f>+Inputs!D38</f>
        <v>21383445.974999998</v>
      </c>
      <c r="E38" s="53">
        <f>VLOOKUP(A38,'[11]HDD CDD Summary'!$R:$T,2,FALSE)</f>
        <v>429.70000000000005</v>
      </c>
      <c r="F38" s="53">
        <f>VLOOKUP(A38,'[11]HDD CDD Summary'!$R:$T,3,FALSE)</f>
        <v>0</v>
      </c>
      <c r="G38" s="53">
        <f>+Inputs!G38</f>
        <v>31</v>
      </c>
      <c r="H38" s="105">
        <f t="shared" si="6"/>
        <v>0.66666666666666663</v>
      </c>
      <c r="I38" s="53">
        <f>+Inputs!I38</f>
        <v>336</v>
      </c>
      <c r="J38" s="53">
        <f>+Inputs!J38</f>
        <v>0</v>
      </c>
      <c r="K38" s="53">
        <f>+Inputs!M38</f>
        <v>36</v>
      </c>
      <c r="L38" s="53">
        <f t="shared" si="5"/>
        <v>21499641.164623581</v>
      </c>
      <c r="M38" s="37">
        <f t="shared" si="7"/>
        <v>116195.18962358311</v>
      </c>
      <c r="N38" s="45">
        <f t="shared" si="8"/>
        <v>5.4338851539377821E-3</v>
      </c>
      <c r="O38" s="12">
        <f t="shared" si="2"/>
        <v>5.4338851539377821E-3</v>
      </c>
      <c r="P38"/>
    </row>
    <row r="39" spans="1:25" x14ac:dyDescent="0.2">
      <c r="A39" s="3" t="str">
        <f t="shared" si="3"/>
        <v>20161</v>
      </c>
      <c r="B39" s="49">
        <f t="shared" si="4"/>
        <v>2016</v>
      </c>
      <c r="C39" s="52">
        <v>42400</v>
      </c>
      <c r="D39" s="53">
        <f>+Inputs!D39</f>
        <v>23561827.41</v>
      </c>
      <c r="E39" s="53">
        <f>VLOOKUP(A39,'[11]HDD CDD Summary'!$R:$T,2,FALSE)</f>
        <v>670.4</v>
      </c>
      <c r="F39" s="53">
        <f>VLOOKUP(A39,'[11]HDD CDD Summary'!$R:$T,3,FALSE)</f>
        <v>0</v>
      </c>
      <c r="G39" s="53">
        <f>+Inputs!G39</f>
        <v>31</v>
      </c>
      <c r="H39" s="105">
        <f t="shared" si="6"/>
        <v>0</v>
      </c>
      <c r="I39" s="53">
        <f>+Inputs!I39</f>
        <v>320</v>
      </c>
      <c r="J39" s="53">
        <f>+Inputs!J39</f>
        <v>0</v>
      </c>
      <c r="K39" s="53">
        <f>+Inputs!M39</f>
        <v>37</v>
      </c>
      <c r="L39" s="53">
        <f t="shared" si="5"/>
        <v>23087368.855182998</v>
      </c>
      <c r="M39" s="37">
        <f t="shared" si="7"/>
        <v>-474458.55481700227</v>
      </c>
      <c r="N39" s="45">
        <f t="shared" si="8"/>
        <v>-2.0136746889828878E-2</v>
      </c>
      <c r="O39" s="12">
        <f t="shared" si="2"/>
        <v>2.0136746889828878E-2</v>
      </c>
      <c r="P39"/>
      <c r="Q39" t="s">
        <v>26</v>
      </c>
    </row>
    <row r="40" spans="1:25" x14ac:dyDescent="0.2">
      <c r="A40" s="3" t="str">
        <f t="shared" si="3"/>
        <v>20162</v>
      </c>
      <c r="B40" s="49">
        <f t="shared" si="4"/>
        <v>2016</v>
      </c>
      <c r="C40" s="52">
        <v>42429</v>
      </c>
      <c r="D40" s="53">
        <f>+Inputs!D40</f>
        <v>21655030.84</v>
      </c>
      <c r="E40" s="53">
        <f>VLOOKUP(A40,'[11]HDD CDD Summary'!$R:$T,2,FALSE)</f>
        <v>588.4</v>
      </c>
      <c r="F40" s="53">
        <f>VLOOKUP(A40,'[11]HDD CDD Summary'!$R:$T,3,FALSE)</f>
        <v>0</v>
      </c>
      <c r="G40" s="53">
        <f>+Inputs!G40</f>
        <v>29</v>
      </c>
      <c r="H40" s="105">
        <f t="shared" si="6"/>
        <v>0</v>
      </c>
      <c r="I40" s="53">
        <f>+Inputs!I40</f>
        <v>320</v>
      </c>
      <c r="J40" s="53">
        <f>+Inputs!J40</f>
        <v>0</v>
      </c>
      <c r="K40" s="53">
        <f>+Inputs!M40</f>
        <v>38</v>
      </c>
      <c r="L40" s="53">
        <f t="shared" si="5"/>
        <v>21784754.669157166</v>
      </c>
      <c r="M40" s="37">
        <f t="shared" si="7"/>
        <v>129723.82915716618</v>
      </c>
      <c r="N40" s="45">
        <f t="shared" si="8"/>
        <v>5.9904707647678501E-3</v>
      </c>
      <c r="O40" s="12">
        <f t="shared" si="2"/>
        <v>5.9904707647678501E-3</v>
      </c>
      <c r="P40"/>
      <c r="Q40" s="76"/>
      <c r="R40" s="76" t="s">
        <v>30</v>
      </c>
      <c r="S40" s="76" t="s">
        <v>31</v>
      </c>
      <c r="T40" s="76" t="s">
        <v>32</v>
      </c>
      <c r="U40" s="76" t="s">
        <v>33</v>
      </c>
      <c r="V40" s="76" t="s">
        <v>34</v>
      </c>
    </row>
    <row r="41" spans="1:25" x14ac:dyDescent="0.2">
      <c r="A41" s="3" t="str">
        <f t="shared" si="3"/>
        <v>20163</v>
      </c>
      <c r="B41" s="49">
        <f t="shared" si="4"/>
        <v>2016</v>
      </c>
      <c r="C41" s="52">
        <v>42460</v>
      </c>
      <c r="D41" s="53">
        <f>+Inputs!D41</f>
        <v>21636172.899999999</v>
      </c>
      <c r="E41" s="53">
        <f>VLOOKUP(A41,'[11]HDD CDD Summary'!$R:$T,2,FALSE)</f>
        <v>476.0999999999998</v>
      </c>
      <c r="F41" s="53">
        <f>VLOOKUP(A41,'[11]HDD CDD Summary'!$R:$T,3,FALSE)</f>
        <v>0</v>
      </c>
      <c r="G41" s="53">
        <f>+Inputs!G41</f>
        <v>31</v>
      </c>
      <c r="H41" s="105">
        <f t="shared" si="6"/>
        <v>0.33333333333333331</v>
      </c>
      <c r="I41" s="53">
        <f>+Inputs!I41</f>
        <v>352</v>
      </c>
      <c r="J41" s="53">
        <f>+Inputs!J41</f>
        <v>0</v>
      </c>
      <c r="K41" s="53">
        <f>+Inputs!M41</f>
        <v>39</v>
      </c>
      <c r="L41" s="53">
        <f t="shared" si="5"/>
        <v>22167470.945256546</v>
      </c>
      <c r="M41" s="37">
        <f t="shared" si="7"/>
        <v>531298.04525654763</v>
      </c>
      <c r="N41" s="45">
        <f t="shared" si="8"/>
        <v>2.455600848228328E-2</v>
      </c>
      <c r="O41" s="12">
        <f t="shared" si="2"/>
        <v>2.455600848228328E-2</v>
      </c>
      <c r="P41"/>
      <c r="Q41" t="s">
        <v>27</v>
      </c>
      <c r="R41">
        <v>7</v>
      </c>
      <c r="S41">
        <v>238424244349937.44</v>
      </c>
      <c r="T41">
        <v>34060606335705.348</v>
      </c>
      <c r="U41">
        <v>189.46943932251477</v>
      </c>
      <c r="V41">
        <v>5.1605413713013566E-59</v>
      </c>
    </row>
    <row r="42" spans="1:25" x14ac:dyDescent="0.2">
      <c r="A42" s="3" t="str">
        <f t="shared" si="3"/>
        <v>20164</v>
      </c>
      <c r="B42" s="49">
        <f t="shared" si="4"/>
        <v>2016</v>
      </c>
      <c r="C42" s="52">
        <v>42490</v>
      </c>
      <c r="D42" s="53">
        <f>+Inputs!D42</f>
        <v>20336536.75</v>
      </c>
      <c r="E42" s="53">
        <f>VLOOKUP(A42,'[11]HDD CDD Summary'!$R:$T,2,FALSE)</f>
        <v>394.8</v>
      </c>
      <c r="F42" s="53">
        <f>VLOOKUP(A42,'[11]HDD CDD Summary'!$R:$T,3,FALSE)</f>
        <v>0</v>
      </c>
      <c r="G42" s="53">
        <f>+Inputs!G42</f>
        <v>30</v>
      </c>
      <c r="H42" s="105">
        <f t="shared" si="6"/>
        <v>1</v>
      </c>
      <c r="I42" s="53">
        <f>+Inputs!I42</f>
        <v>336</v>
      </c>
      <c r="J42" s="53">
        <f>+Inputs!J42</f>
        <v>0</v>
      </c>
      <c r="K42" s="53">
        <f>+Inputs!M42</f>
        <v>40</v>
      </c>
      <c r="L42" s="53">
        <f t="shared" si="5"/>
        <v>20761328.522923496</v>
      </c>
      <c r="M42" s="37">
        <f t="shared" si="7"/>
        <v>424791.77292349562</v>
      </c>
      <c r="N42" s="45">
        <f t="shared" si="8"/>
        <v>2.0888107849705316E-2</v>
      </c>
      <c r="O42" s="12">
        <f t="shared" si="2"/>
        <v>2.0888107849705316E-2</v>
      </c>
      <c r="P42"/>
      <c r="Q42" t="s">
        <v>28</v>
      </c>
      <c r="R42">
        <v>112</v>
      </c>
      <c r="S42">
        <v>20134053931016.648</v>
      </c>
      <c r="T42">
        <v>179768338669.7915</v>
      </c>
    </row>
    <row r="43" spans="1:25" ht="13.5" thickBot="1" x14ac:dyDescent="0.25">
      <c r="A43" s="3" t="str">
        <f t="shared" si="3"/>
        <v>20165</v>
      </c>
      <c r="B43" s="49">
        <f t="shared" si="4"/>
        <v>2016</v>
      </c>
      <c r="C43" s="52">
        <v>42521</v>
      </c>
      <c r="D43" s="53">
        <f>+Inputs!D43</f>
        <v>20078198.850000001</v>
      </c>
      <c r="E43" s="53">
        <f>VLOOKUP(A43,'[11]HDD CDD Summary'!$R:$T,2,FALSE)</f>
        <v>142.50000000000003</v>
      </c>
      <c r="F43" s="53">
        <f>VLOOKUP(A43,'[11]HDD CDD Summary'!$R:$T,3,FALSE)</f>
        <v>36.9</v>
      </c>
      <c r="G43" s="53">
        <f>+Inputs!G43</f>
        <v>31</v>
      </c>
      <c r="H43" s="105">
        <f t="shared" si="6"/>
        <v>1</v>
      </c>
      <c r="I43" s="53">
        <f>+Inputs!I43</f>
        <v>336</v>
      </c>
      <c r="J43" s="53">
        <f>+Inputs!J43</f>
        <v>0</v>
      </c>
      <c r="K43" s="53">
        <f>+Inputs!M43</f>
        <v>41</v>
      </c>
      <c r="L43" s="53">
        <f t="shared" si="5"/>
        <v>20632617.581025969</v>
      </c>
      <c r="M43" s="37">
        <f t="shared" si="7"/>
        <v>554418.73102596775</v>
      </c>
      <c r="N43" s="45">
        <f t="shared" si="8"/>
        <v>2.7612971420788956E-2</v>
      </c>
      <c r="O43" s="12">
        <f t="shared" si="2"/>
        <v>2.7612971420788956E-2</v>
      </c>
      <c r="P43"/>
      <c r="Q43" s="90" t="s">
        <v>11</v>
      </c>
      <c r="R43" s="90">
        <v>119</v>
      </c>
      <c r="S43" s="90">
        <v>258558298280954.09</v>
      </c>
      <c r="T43" s="90"/>
      <c r="U43" s="90"/>
      <c r="V43" s="90"/>
    </row>
    <row r="44" spans="1:25" x14ac:dyDescent="0.2">
      <c r="A44" s="3" t="str">
        <f t="shared" si="3"/>
        <v>20166</v>
      </c>
      <c r="B44" s="49">
        <f t="shared" si="4"/>
        <v>2016</v>
      </c>
      <c r="C44" s="52">
        <v>42551</v>
      </c>
      <c r="D44" s="53">
        <f>+Inputs!D44</f>
        <v>20739146.41</v>
      </c>
      <c r="E44" s="53">
        <f>VLOOKUP(A44,'[11]HDD CDD Summary'!$R:$T,2,FALSE)</f>
        <v>24.200000000000003</v>
      </c>
      <c r="F44" s="53">
        <f>VLOOKUP(A44,'[11]HDD CDD Summary'!$R:$T,3,FALSE)</f>
        <v>83.7</v>
      </c>
      <c r="G44" s="53">
        <f>+Inputs!G44</f>
        <v>30</v>
      </c>
      <c r="H44" s="105">
        <f t="shared" si="6"/>
        <v>0.66666666666666663</v>
      </c>
      <c r="I44" s="53">
        <f>+Inputs!I44</f>
        <v>352</v>
      </c>
      <c r="J44" s="53">
        <f>+Inputs!J44</f>
        <v>0</v>
      </c>
      <c r="K44" s="53">
        <f>+Inputs!M44</f>
        <v>42</v>
      </c>
      <c r="L44" s="53">
        <f t="shared" si="5"/>
        <v>21036370.042411897</v>
      </c>
      <c r="M44" s="37">
        <f t="shared" si="7"/>
        <v>297223.63241189718</v>
      </c>
      <c r="N44" s="45">
        <f t="shared" si="8"/>
        <v>1.4331526791699677E-2</v>
      </c>
      <c r="O44" s="12">
        <f t="shared" si="2"/>
        <v>1.4331526791699677E-2</v>
      </c>
      <c r="P44"/>
    </row>
    <row r="45" spans="1:25" x14ac:dyDescent="0.2">
      <c r="A45" s="3" t="str">
        <f t="shared" si="3"/>
        <v>20167</v>
      </c>
      <c r="B45" s="49">
        <f t="shared" si="4"/>
        <v>2016</v>
      </c>
      <c r="C45" s="52">
        <v>42582</v>
      </c>
      <c r="D45" s="53">
        <f>+Inputs!D45</f>
        <v>23027670.599999998</v>
      </c>
      <c r="E45" s="53">
        <f>VLOOKUP(A45,'[11]HDD CDD Summary'!$R:$T,2,FALSE)</f>
        <v>0</v>
      </c>
      <c r="F45" s="53">
        <f>VLOOKUP(A45,'[11]HDD CDD Summary'!$R:$T,3,FALSE)</f>
        <v>176.89999999999998</v>
      </c>
      <c r="G45" s="53">
        <f>+Inputs!G45</f>
        <v>31</v>
      </c>
      <c r="H45" s="105">
        <f t="shared" si="6"/>
        <v>0</v>
      </c>
      <c r="I45" s="53">
        <f>+Inputs!I45</f>
        <v>320</v>
      </c>
      <c r="J45" s="53">
        <f>+Inputs!J45</f>
        <v>0</v>
      </c>
      <c r="K45" s="53">
        <f>+Inputs!M45</f>
        <v>43</v>
      </c>
      <c r="L45" s="53">
        <f t="shared" si="5"/>
        <v>23606001.251922309</v>
      </c>
      <c r="M45" s="37">
        <f t="shared" si="7"/>
        <v>578330.65192231163</v>
      </c>
      <c r="N45" s="45">
        <f t="shared" si="8"/>
        <v>2.5114596346636629E-2</v>
      </c>
      <c r="O45" s="12">
        <f t="shared" si="2"/>
        <v>2.5114596346636629E-2</v>
      </c>
      <c r="P45"/>
      <c r="Q45" s="76"/>
      <c r="R45" s="76" t="s">
        <v>35</v>
      </c>
      <c r="S45" s="76" t="s">
        <v>24</v>
      </c>
      <c r="T45" s="76" t="s">
        <v>36</v>
      </c>
      <c r="U45" s="76" t="s">
        <v>37</v>
      </c>
      <c r="V45" s="76" t="s">
        <v>38</v>
      </c>
      <c r="W45" s="76" t="s">
        <v>39</v>
      </c>
      <c r="X45" s="76" t="s">
        <v>105</v>
      </c>
      <c r="Y45" s="76" t="s">
        <v>106</v>
      </c>
    </row>
    <row r="46" spans="1:25" x14ac:dyDescent="0.2">
      <c r="A46" s="3" t="str">
        <f t="shared" si="3"/>
        <v>20168</v>
      </c>
      <c r="B46" s="49">
        <f t="shared" si="4"/>
        <v>2016</v>
      </c>
      <c r="C46" s="52">
        <v>42613</v>
      </c>
      <c r="D46" s="53">
        <f>+Inputs!D46</f>
        <v>24179844.139999997</v>
      </c>
      <c r="E46" s="53">
        <f>VLOOKUP(A46,'[11]HDD CDD Summary'!$R:$T,2,FALSE)</f>
        <v>0</v>
      </c>
      <c r="F46" s="53">
        <f>VLOOKUP(A46,'[11]HDD CDD Summary'!$R:$T,3,FALSE)</f>
        <v>195.4</v>
      </c>
      <c r="G46" s="53">
        <f>+Inputs!G46</f>
        <v>31</v>
      </c>
      <c r="H46" s="105">
        <f t="shared" si="6"/>
        <v>0</v>
      </c>
      <c r="I46" s="53">
        <f>+Inputs!I46</f>
        <v>368</v>
      </c>
      <c r="J46" s="53">
        <f>+Inputs!J46</f>
        <v>0</v>
      </c>
      <c r="K46" s="53">
        <f>+Inputs!M46</f>
        <v>44</v>
      </c>
      <c r="L46" s="53">
        <f t="shared" si="5"/>
        <v>24605285.006877538</v>
      </c>
      <c r="M46" s="37">
        <f t="shared" si="7"/>
        <v>425440.86687754095</v>
      </c>
      <c r="N46" s="45">
        <f t="shared" si="8"/>
        <v>1.7594855633239866E-2</v>
      </c>
      <c r="O46" s="12">
        <f t="shared" si="2"/>
        <v>1.7594855633239866E-2</v>
      </c>
      <c r="P46"/>
      <c r="Q46" t="s">
        <v>29</v>
      </c>
      <c r="R46" s="113">
        <v>2258658.1192288594</v>
      </c>
      <c r="S46" s="113">
        <v>1496349.7974814321</v>
      </c>
      <c r="T46" s="113">
        <v>1.5094452667621567</v>
      </c>
      <c r="U46" s="113">
        <v>0.13400103060277765</v>
      </c>
      <c r="V46" s="113">
        <v>-706167.19469671417</v>
      </c>
      <c r="W46" s="113">
        <v>5223483.433154433</v>
      </c>
      <c r="X46" s="113">
        <v>-706167.19469671417</v>
      </c>
      <c r="Y46" s="113">
        <v>5223483.433154433</v>
      </c>
    </row>
    <row r="47" spans="1:25" x14ac:dyDescent="0.2">
      <c r="A47" s="3" t="str">
        <f t="shared" si="3"/>
        <v>20169</v>
      </c>
      <c r="B47" s="49">
        <f t="shared" si="4"/>
        <v>2016</v>
      </c>
      <c r="C47" s="52">
        <v>42643</v>
      </c>
      <c r="D47" s="53">
        <f>+Inputs!D47</f>
        <v>20570015.609999999</v>
      </c>
      <c r="E47" s="53">
        <f>VLOOKUP(A47,'[11]HDD CDD Summary'!$R:$T,2,FALSE)</f>
        <v>25.900000000000006</v>
      </c>
      <c r="F47" s="53">
        <f>VLOOKUP(A47,'[11]HDD CDD Summary'!$R:$T,3,FALSE)</f>
        <v>69.400000000000006</v>
      </c>
      <c r="G47" s="53">
        <f>+Inputs!G47</f>
        <v>30</v>
      </c>
      <c r="H47" s="105">
        <f t="shared" si="6"/>
        <v>0.33333333333333331</v>
      </c>
      <c r="I47" s="53">
        <f>+Inputs!I47</f>
        <v>336</v>
      </c>
      <c r="J47" s="53">
        <f>+Inputs!J47</f>
        <v>0</v>
      </c>
      <c r="K47" s="53">
        <f>+Inputs!M47</f>
        <v>45</v>
      </c>
      <c r="L47" s="53">
        <f t="shared" si="5"/>
        <v>20740211.987724304</v>
      </c>
      <c r="M47" s="37">
        <f t="shared" si="7"/>
        <v>170196.3777243048</v>
      </c>
      <c r="N47" s="45">
        <f t="shared" si="8"/>
        <v>8.2740033333550209E-3</v>
      </c>
      <c r="O47" s="12">
        <f t="shared" si="2"/>
        <v>8.2740033333550209E-3</v>
      </c>
      <c r="P47"/>
      <c r="Q47" t="s">
        <v>4</v>
      </c>
      <c r="R47" s="113">
        <v>5946.3608205387</v>
      </c>
      <c r="S47" s="113">
        <v>270.60569874209762</v>
      </c>
      <c r="T47" s="113">
        <v>21.974263100075785</v>
      </c>
      <c r="U47" s="113">
        <v>2.0390315905097663E-42</v>
      </c>
      <c r="V47" s="113">
        <v>5410.1903161062</v>
      </c>
      <c r="W47" s="113">
        <v>6482.5313249711999</v>
      </c>
      <c r="X47" s="113">
        <v>5410.1903161062</v>
      </c>
      <c r="Y47" s="113">
        <v>6482.5313249711999</v>
      </c>
    </row>
    <row r="48" spans="1:25" x14ac:dyDescent="0.2">
      <c r="A48" s="3" t="str">
        <f t="shared" si="3"/>
        <v>201610</v>
      </c>
      <c r="B48" s="49">
        <f t="shared" si="4"/>
        <v>2016</v>
      </c>
      <c r="C48" s="52">
        <v>42674</v>
      </c>
      <c r="D48" s="53">
        <f>+Inputs!D48</f>
        <v>20577574.779999997</v>
      </c>
      <c r="E48" s="53">
        <f>VLOOKUP(A48,'[11]HDD CDD Summary'!$R:$T,2,FALSE)</f>
        <v>194.20000000000002</v>
      </c>
      <c r="F48" s="53">
        <f>VLOOKUP(A48,'[11]HDD CDD Summary'!$R:$T,3,FALSE)</f>
        <v>4.0999999999999996</v>
      </c>
      <c r="G48" s="53">
        <f>+Inputs!G48</f>
        <v>31</v>
      </c>
      <c r="H48" s="105">
        <f t="shared" si="6"/>
        <v>1</v>
      </c>
      <c r="I48" s="53">
        <f>+Inputs!I48</f>
        <v>320</v>
      </c>
      <c r="J48" s="53">
        <f>+Inputs!J48</f>
        <v>0</v>
      </c>
      <c r="K48" s="53">
        <f>+Inputs!M48</f>
        <v>46</v>
      </c>
      <c r="L48" s="53">
        <f t="shared" si="5"/>
        <v>20029671.05944242</v>
      </c>
      <c r="M48" s="37">
        <f t="shared" si="7"/>
        <v>-547903.72055757791</v>
      </c>
      <c r="N48" s="45">
        <f t="shared" si="8"/>
        <v>-2.6626253405241079E-2</v>
      </c>
      <c r="O48" s="12">
        <f t="shared" si="2"/>
        <v>2.6626253405241079E-2</v>
      </c>
      <c r="P48"/>
      <c r="Q48" t="s">
        <v>5</v>
      </c>
      <c r="R48" s="113">
        <v>24882.048393118192</v>
      </c>
      <c r="S48" s="113">
        <v>1520.2390433348951</v>
      </c>
      <c r="T48" s="113">
        <v>16.367194687050869</v>
      </c>
      <c r="U48" s="113">
        <v>1.7632746982543656E-31</v>
      </c>
      <c r="V48" s="113">
        <v>21869.889600779916</v>
      </c>
      <c r="W48" s="113">
        <v>27894.207185456467</v>
      </c>
      <c r="X48" s="113">
        <v>21869.889600779916</v>
      </c>
      <c r="Y48" s="113">
        <v>27894.207185456467</v>
      </c>
    </row>
    <row r="49" spans="1:25" x14ac:dyDescent="0.2">
      <c r="A49" s="3" t="str">
        <f t="shared" si="3"/>
        <v>201611</v>
      </c>
      <c r="B49" s="49">
        <f t="shared" si="4"/>
        <v>2016</v>
      </c>
      <c r="C49" s="52">
        <v>42704</v>
      </c>
      <c r="D49" s="53">
        <f>+Inputs!D49</f>
        <v>20734381.805</v>
      </c>
      <c r="E49" s="53">
        <f>VLOOKUP(A49,'[11]HDD CDD Summary'!$R:$T,2,FALSE)</f>
        <v>337.80000000000007</v>
      </c>
      <c r="F49" s="53">
        <f>VLOOKUP(A49,'[11]HDD CDD Summary'!$R:$T,3,FALSE)</f>
        <v>0</v>
      </c>
      <c r="G49" s="53">
        <f>+Inputs!G49</f>
        <v>30</v>
      </c>
      <c r="H49" s="105">
        <f t="shared" si="6"/>
        <v>1</v>
      </c>
      <c r="I49" s="53">
        <f>+Inputs!I49</f>
        <v>352</v>
      </c>
      <c r="J49" s="53">
        <f>+Inputs!J49</f>
        <v>0</v>
      </c>
      <c r="K49" s="53">
        <f>+Inputs!M49</f>
        <v>47</v>
      </c>
      <c r="L49" s="53">
        <f t="shared" si="5"/>
        <v>20713267.811865974</v>
      </c>
      <c r="M49" s="37">
        <f t="shared" si="7"/>
        <v>-21113.993134025484</v>
      </c>
      <c r="N49" s="45">
        <f t="shared" si="8"/>
        <v>-1.0183083022486806E-3</v>
      </c>
      <c r="O49" s="12">
        <f t="shared" si="2"/>
        <v>1.0183083022486806E-3</v>
      </c>
      <c r="P49"/>
      <c r="Q49" t="s">
        <v>6</v>
      </c>
      <c r="R49" s="113">
        <v>406448.70984653354</v>
      </c>
      <c r="S49" s="113">
        <v>55060.738850609203</v>
      </c>
      <c r="T49" s="113">
        <v>7.3818244784057505</v>
      </c>
      <c r="U49" s="113">
        <v>2.948905158177983E-11</v>
      </c>
      <c r="V49" s="113">
        <v>297352.91378167178</v>
      </c>
      <c r="W49" s="113">
        <v>515544.5059113953</v>
      </c>
      <c r="X49" s="113">
        <v>297352.91378167178</v>
      </c>
      <c r="Y49" s="113">
        <v>515544.5059113953</v>
      </c>
    </row>
    <row r="50" spans="1:25" x14ac:dyDescent="0.2">
      <c r="A50" s="3" t="str">
        <f t="shared" si="3"/>
        <v>201612</v>
      </c>
      <c r="B50" s="49">
        <f t="shared" si="4"/>
        <v>2016</v>
      </c>
      <c r="C50" s="52">
        <v>42735</v>
      </c>
      <c r="D50" s="53">
        <f>+Inputs!D50</f>
        <v>22113618.544999998</v>
      </c>
      <c r="E50" s="53">
        <f>VLOOKUP(A50,'[11]HDD CDD Summary'!$R:$T,2,FALSE)</f>
        <v>607.99999999999989</v>
      </c>
      <c r="F50" s="53">
        <f>VLOOKUP(A50,'[11]HDD CDD Summary'!$R:$T,3,FALSE)</f>
        <v>0</v>
      </c>
      <c r="G50" s="53">
        <f>+Inputs!G50</f>
        <v>31</v>
      </c>
      <c r="H50" s="105">
        <f t="shared" si="6"/>
        <v>0.66666666666666663</v>
      </c>
      <c r="I50" s="53">
        <f>+Inputs!I50</f>
        <v>320</v>
      </c>
      <c r="J50" s="53">
        <f>+Inputs!J50</f>
        <v>0</v>
      </c>
      <c r="K50" s="53">
        <f>+Inputs!M50</f>
        <v>48</v>
      </c>
      <c r="L50" s="53">
        <f t="shared" si="5"/>
        <v>22540294.365818314</v>
      </c>
      <c r="M50" s="37">
        <f t="shared" si="7"/>
        <v>426675.82081831619</v>
      </c>
      <c r="N50" s="45">
        <f t="shared" si="8"/>
        <v>1.9294708369417442E-2</v>
      </c>
      <c r="O50" s="12">
        <f t="shared" si="2"/>
        <v>1.9294708369417442E-2</v>
      </c>
      <c r="P50"/>
      <c r="Q50" t="s">
        <v>18</v>
      </c>
      <c r="R50" s="113">
        <v>-467101.48120819684</v>
      </c>
      <c r="S50" s="113">
        <v>135091.28327382391</v>
      </c>
      <c r="T50" s="113">
        <v>-3.4576729888737772</v>
      </c>
      <c r="U50" s="113">
        <v>7.712010646615823E-4</v>
      </c>
      <c r="V50" s="113">
        <v>-734767.54232242214</v>
      </c>
      <c r="W50" s="113">
        <v>-199435.4200939716</v>
      </c>
      <c r="X50" s="113">
        <v>-734767.54232242214</v>
      </c>
      <c r="Y50" s="113">
        <v>-199435.4200939716</v>
      </c>
    </row>
    <row r="51" spans="1:25" x14ac:dyDescent="0.2">
      <c r="A51" s="3" t="str">
        <f t="shared" si="3"/>
        <v>20171</v>
      </c>
      <c r="B51" s="49">
        <f t="shared" si="4"/>
        <v>2017</v>
      </c>
      <c r="C51" s="52">
        <v>42766</v>
      </c>
      <c r="D51" s="53">
        <f>+Inputs!D51</f>
        <v>23287844.449999999</v>
      </c>
      <c r="E51" s="53">
        <f>VLOOKUP(A51,'[11]HDD CDD Summary'!$R:$T,2,FALSE)</f>
        <v>608.9</v>
      </c>
      <c r="F51" s="53">
        <f>VLOOKUP(A51,'[11]HDD CDD Summary'!$R:$T,3,FALSE)</f>
        <v>0</v>
      </c>
      <c r="G51" s="53">
        <f>+Inputs!G51</f>
        <v>31</v>
      </c>
      <c r="H51" s="105">
        <f t="shared" si="6"/>
        <v>0</v>
      </c>
      <c r="I51" s="53">
        <f>+Inputs!I51</f>
        <v>336</v>
      </c>
      <c r="J51" s="53">
        <f>+Inputs!J51</f>
        <v>0</v>
      </c>
      <c r="K51" s="53">
        <f>+Inputs!M51</f>
        <v>49</v>
      </c>
      <c r="L51" s="53">
        <f t="shared" si="5"/>
        <v>23088824.840615217</v>
      </c>
      <c r="M51" s="37">
        <f t="shared" si="7"/>
        <v>-199019.60938478261</v>
      </c>
      <c r="N51" s="45">
        <f t="shared" si="8"/>
        <v>-8.5460726007547099E-3</v>
      </c>
      <c r="O51" s="12">
        <f t="shared" si="2"/>
        <v>8.5460726007547099E-3</v>
      </c>
      <c r="P51"/>
      <c r="Q51" t="s">
        <v>7</v>
      </c>
      <c r="R51" s="113">
        <v>11627.963665702044</v>
      </c>
      <c r="S51" s="113">
        <v>2635.4973446893673</v>
      </c>
      <c r="T51" s="113">
        <v>4.4120566803578294</v>
      </c>
      <c r="U51" s="113">
        <v>2.3661190114191892E-5</v>
      </c>
      <c r="V51" s="113">
        <v>6406.0635087531946</v>
      </c>
      <c r="W51" s="113">
        <v>16849.863822650892</v>
      </c>
      <c r="X51" s="113">
        <v>6406.0635087531946</v>
      </c>
      <c r="Y51" s="113">
        <v>16849.863822650892</v>
      </c>
    </row>
    <row r="52" spans="1:25" x14ac:dyDescent="0.2">
      <c r="A52" s="3" t="str">
        <f t="shared" si="3"/>
        <v>20172</v>
      </c>
      <c r="B52" s="49">
        <f t="shared" si="4"/>
        <v>2017</v>
      </c>
      <c r="C52" s="52">
        <v>42794</v>
      </c>
      <c r="D52" s="53">
        <f>+Inputs!D52</f>
        <v>20360287.07</v>
      </c>
      <c r="E52" s="53">
        <f>VLOOKUP(A52,'[11]HDD CDD Summary'!$R:$T,2,FALSE)</f>
        <v>510.4</v>
      </c>
      <c r="F52" s="53">
        <f>VLOOKUP(A52,'[11]HDD CDD Summary'!$R:$T,3,FALSE)</f>
        <v>0</v>
      </c>
      <c r="G52" s="53">
        <f>+Inputs!G52</f>
        <v>28</v>
      </c>
      <c r="H52" s="105">
        <f t="shared" si="6"/>
        <v>0</v>
      </c>
      <c r="I52" s="53">
        <f>+Inputs!I52</f>
        <v>304</v>
      </c>
      <c r="J52" s="53">
        <f>+Inputs!J52</f>
        <v>0</v>
      </c>
      <c r="K52" s="53">
        <f>+Inputs!M52</f>
        <v>50</v>
      </c>
      <c r="L52" s="53">
        <f t="shared" si="5"/>
        <v>20915134.901548494</v>
      </c>
      <c r="M52" s="37">
        <f t="shared" si="7"/>
        <v>554847.83154849336</v>
      </c>
      <c r="N52" s="45">
        <f t="shared" si="8"/>
        <v>2.725147389331448E-2</v>
      </c>
      <c r="O52" s="12">
        <f t="shared" si="2"/>
        <v>2.725147389331448E-2</v>
      </c>
      <c r="P52"/>
      <c r="Q52" t="s">
        <v>144</v>
      </c>
      <c r="R52" s="113">
        <v>-2294129.6123667345</v>
      </c>
      <c r="S52" s="113">
        <v>430609.75981974351</v>
      </c>
      <c r="T52" s="113">
        <v>-5.3276303196821981</v>
      </c>
      <c r="U52" s="113">
        <v>5.200446127897796E-7</v>
      </c>
      <c r="V52" s="113">
        <v>-3147327.6536842287</v>
      </c>
      <c r="W52" s="113">
        <v>-1440931.5710492404</v>
      </c>
      <c r="X52" s="113">
        <v>-3147327.6536842287</v>
      </c>
      <c r="Y52" s="113">
        <v>-1440931.5710492404</v>
      </c>
    </row>
    <row r="53" spans="1:25" ht="13.5" thickBot="1" x14ac:dyDescent="0.25">
      <c r="A53" s="3" t="str">
        <f t="shared" si="3"/>
        <v>20173</v>
      </c>
      <c r="B53" s="49">
        <f t="shared" si="4"/>
        <v>2017</v>
      </c>
      <c r="C53" s="52">
        <v>42825</v>
      </c>
      <c r="D53" s="53">
        <f>+Inputs!D53</f>
        <v>22567613.300000001</v>
      </c>
      <c r="E53" s="53">
        <f>VLOOKUP(A53,'[11]HDD CDD Summary'!$R:$T,2,FALSE)</f>
        <v>574</v>
      </c>
      <c r="F53" s="53">
        <f>VLOOKUP(A53,'[11]HDD CDD Summary'!$R:$T,3,FALSE)</f>
        <v>0</v>
      </c>
      <c r="G53" s="53">
        <f>+Inputs!G53</f>
        <v>31</v>
      </c>
      <c r="H53" s="105">
        <f t="shared" si="6"/>
        <v>0.33333333333333331</v>
      </c>
      <c r="I53" s="53">
        <f>+Inputs!I53</f>
        <v>368</v>
      </c>
      <c r="J53" s="53">
        <f>+Inputs!J53</f>
        <v>0</v>
      </c>
      <c r="K53" s="53">
        <f>+Inputs!M53</f>
        <v>51</v>
      </c>
      <c r="L53" s="53">
        <f t="shared" si="5"/>
        <v>23095415.294345584</v>
      </c>
      <c r="M53" s="37">
        <f t="shared" si="7"/>
        <v>527801.99434558302</v>
      </c>
      <c r="N53" s="45">
        <f t="shared" si="8"/>
        <v>2.3387585888206573E-2</v>
      </c>
      <c r="O53" s="12">
        <f t="shared" si="2"/>
        <v>2.3387585888206573E-2</v>
      </c>
      <c r="P53"/>
      <c r="Q53" s="90" t="s">
        <v>70</v>
      </c>
      <c r="R53" s="114">
        <v>13922.408318102209</v>
      </c>
      <c r="S53" s="114">
        <v>1130.3424725072434</v>
      </c>
      <c r="T53" s="114">
        <v>12.316982380765129</v>
      </c>
      <c r="U53" s="114">
        <v>1.4687536347506538E-22</v>
      </c>
      <c r="V53" s="114">
        <v>11682.779601918764</v>
      </c>
      <c r="W53" s="114">
        <v>16162.037034285653</v>
      </c>
      <c r="X53" s="114">
        <v>11682.779601918764</v>
      </c>
      <c r="Y53" s="114">
        <v>16162.037034285653</v>
      </c>
    </row>
    <row r="54" spans="1:25" x14ac:dyDescent="0.2">
      <c r="A54" s="3" t="str">
        <f t="shared" si="3"/>
        <v>20174</v>
      </c>
      <c r="B54" s="49">
        <f t="shared" si="4"/>
        <v>2017</v>
      </c>
      <c r="C54" s="52">
        <v>42855</v>
      </c>
      <c r="D54" s="53">
        <f>+Inputs!D54</f>
        <v>19386237.350000001</v>
      </c>
      <c r="E54" s="53">
        <f>VLOOKUP(A54,'[11]HDD CDD Summary'!$R:$T,2,FALSE)</f>
        <v>257.49999999999994</v>
      </c>
      <c r="F54" s="53">
        <f>VLOOKUP(A54,'[11]HDD CDD Summary'!$R:$T,3,FALSE)</f>
        <v>0</v>
      </c>
      <c r="G54" s="53">
        <f>+Inputs!G54</f>
        <v>30</v>
      </c>
      <c r="H54" s="105">
        <f t="shared" si="6"/>
        <v>1</v>
      </c>
      <c r="I54" s="53">
        <f>+Inputs!I54</f>
        <v>304</v>
      </c>
      <c r="J54" s="53">
        <f>+Inputs!J54</f>
        <v>0</v>
      </c>
      <c r="K54" s="53">
        <f>+Inputs!M54</f>
        <v>52</v>
      </c>
      <c r="L54" s="53">
        <f t="shared" si="5"/>
        <v>19790302.525396328</v>
      </c>
      <c r="M54" s="37">
        <f t="shared" si="7"/>
        <v>404065.17539632693</v>
      </c>
      <c r="N54" s="45">
        <f t="shared" si="8"/>
        <v>2.0842888080926488E-2</v>
      </c>
      <c r="O54" s="12">
        <f t="shared" si="2"/>
        <v>2.0842888080926488E-2</v>
      </c>
      <c r="P54"/>
    </row>
    <row r="55" spans="1:25" x14ac:dyDescent="0.2">
      <c r="A55" s="3" t="str">
        <f t="shared" si="3"/>
        <v>20175</v>
      </c>
      <c r="B55" s="49">
        <f t="shared" si="4"/>
        <v>2017</v>
      </c>
      <c r="C55" s="52">
        <v>42886</v>
      </c>
      <c r="D55" s="53">
        <f>+Inputs!D55</f>
        <v>19855233.969999999</v>
      </c>
      <c r="E55" s="53">
        <f>VLOOKUP(A55,'[11]HDD CDD Summary'!$R:$T,2,FALSE)</f>
        <v>177</v>
      </c>
      <c r="F55" s="53">
        <f>VLOOKUP(A55,'[11]HDD CDD Summary'!$R:$T,3,FALSE)</f>
        <v>9</v>
      </c>
      <c r="G55" s="53">
        <f>+Inputs!G55</f>
        <v>31</v>
      </c>
      <c r="H55" s="105">
        <f t="shared" si="6"/>
        <v>1</v>
      </c>
      <c r="I55" s="53">
        <f>+Inputs!I55</f>
        <v>352</v>
      </c>
      <c r="J55" s="53">
        <f>+Inputs!J55</f>
        <v>0</v>
      </c>
      <c r="K55" s="53">
        <f>+Inputs!M55</f>
        <v>53</v>
      </c>
      <c r="L55" s="53">
        <f t="shared" si="5"/>
        <v>20510027.180225089</v>
      </c>
      <c r="M55" s="37">
        <f t="shared" si="7"/>
        <v>654793.21022509038</v>
      </c>
      <c r="N55" s="45">
        <f t="shared" si="8"/>
        <v>3.297836788095479E-2</v>
      </c>
      <c r="O55" s="12">
        <f t="shared" si="2"/>
        <v>3.297836788095479E-2</v>
      </c>
      <c r="P55"/>
    </row>
    <row r="56" spans="1:25" x14ac:dyDescent="0.2">
      <c r="A56" s="3" t="str">
        <f t="shared" si="3"/>
        <v>20176</v>
      </c>
      <c r="B56" s="49">
        <f t="shared" si="4"/>
        <v>2017</v>
      </c>
      <c r="C56" s="52">
        <v>42916</v>
      </c>
      <c r="D56" s="53">
        <f>+Inputs!D56</f>
        <v>20499489.770000003</v>
      </c>
      <c r="E56" s="53">
        <f>VLOOKUP(A56,'[11]HDD CDD Summary'!$R:$T,2,FALSE)</f>
        <v>26.699999999999996</v>
      </c>
      <c r="F56" s="53">
        <f>VLOOKUP(A56,'[11]HDD CDD Summary'!$R:$T,3,FALSE)</f>
        <v>68.2</v>
      </c>
      <c r="G56" s="53">
        <f>+Inputs!G56</f>
        <v>30</v>
      </c>
      <c r="H56" s="105">
        <f t="shared" si="6"/>
        <v>0.66666666666666663</v>
      </c>
      <c r="I56" s="53">
        <f>+Inputs!I56</f>
        <v>352</v>
      </c>
      <c r="J56" s="53">
        <f>+Inputs!J56</f>
        <v>0</v>
      </c>
      <c r="K56" s="53">
        <f>+Inputs!M56</f>
        <v>54</v>
      </c>
      <c r="L56" s="53">
        <f t="shared" si="5"/>
        <v>20853607.766815014</v>
      </c>
      <c r="M56" s="37">
        <f t="shared" si="7"/>
        <v>354117.99681501091</v>
      </c>
      <c r="N56" s="45">
        <f t="shared" si="8"/>
        <v>1.7274478574254331E-2</v>
      </c>
      <c r="O56" s="12">
        <f t="shared" si="2"/>
        <v>1.7274478574254331E-2</v>
      </c>
      <c r="P56"/>
    </row>
    <row r="57" spans="1:25" x14ac:dyDescent="0.2">
      <c r="A57" s="3" t="str">
        <f t="shared" si="3"/>
        <v>20177</v>
      </c>
      <c r="B57" s="49">
        <f t="shared" si="4"/>
        <v>2017</v>
      </c>
      <c r="C57" s="52">
        <v>42947</v>
      </c>
      <c r="D57" s="53">
        <f>+Inputs!D57</f>
        <v>21882661.009999998</v>
      </c>
      <c r="E57" s="53">
        <f>VLOOKUP(A57,'[11]HDD CDD Summary'!$R:$T,2,FALSE)</f>
        <v>0</v>
      </c>
      <c r="F57" s="53">
        <f>VLOOKUP(A57,'[11]HDD CDD Summary'!$R:$T,3,FALSE)</f>
        <v>116.49999999999999</v>
      </c>
      <c r="G57" s="53">
        <f>+Inputs!G57</f>
        <v>31</v>
      </c>
      <c r="H57" s="105">
        <f t="shared" si="6"/>
        <v>0</v>
      </c>
      <c r="I57" s="53">
        <f>+Inputs!I57</f>
        <v>320</v>
      </c>
      <c r="J57" s="53">
        <f>+Inputs!J57</f>
        <v>0</v>
      </c>
      <c r="K57" s="53">
        <f>+Inputs!M57</f>
        <v>55</v>
      </c>
      <c r="L57" s="53">
        <f t="shared" si="5"/>
        <v>22311101.29264494</v>
      </c>
      <c r="M57" s="37">
        <f t="shared" si="7"/>
        <v>428440.2826449424</v>
      </c>
      <c r="N57" s="45">
        <f t="shared" si="8"/>
        <v>1.9578984587347609E-2</v>
      </c>
      <c r="O57" s="12">
        <f t="shared" si="2"/>
        <v>1.9578984587347609E-2</v>
      </c>
      <c r="P57"/>
    </row>
    <row r="58" spans="1:25" x14ac:dyDescent="0.2">
      <c r="A58" s="3" t="str">
        <f t="shared" si="3"/>
        <v>20178</v>
      </c>
      <c r="B58" s="49">
        <f t="shared" si="4"/>
        <v>2017</v>
      </c>
      <c r="C58" s="52">
        <v>42978</v>
      </c>
      <c r="D58" s="53">
        <f>+Inputs!D58</f>
        <v>21310062.84</v>
      </c>
      <c r="E58" s="53">
        <f>VLOOKUP(A58,'[11]HDD CDD Summary'!$R:$T,2,FALSE)</f>
        <v>11.6</v>
      </c>
      <c r="F58" s="53">
        <f>VLOOKUP(A58,'[11]HDD CDD Summary'!$R:$T,3,FALSE)</f>
        <v>75.2</v>
      </c>
      <c r="G58" s="53">
        <f>+Inputs!G58</f>
        <v>31</v>
      </c>
      <c r="H58" s="105">
        <f t="shared" si="6"/>
        <v>0</v>
      </c>
      <c r="I58" s="53">
        <f>+Inputs!I58</f>
        <v>368</v>
      </c>
      <c r="J58" s="53">
        <f>+Inputs!J58</f>
        <v>0</v>
      </c>
      <c r="K58" s="53">
        <f>+Inputs!M58</f>
        <v>56</v>
      </c>
      <c r="L58" s="53">
        <f t="shared" si="5"/>
        <v>21915962.247222539</v>
      </c>
      <c r="M58" s="37">
        <f t="shared" si="7"/>
        <v>605899.40722253919</v>
      </c>
      <c r="N58" s="45">
        <f t="shared" si="8"/>
        <v>2.8432549062466266E-2</v>
      </c>
      <c r="O58" s="12">
        <f t="shared" si="2"/>
        <v>2.8432549062466266E-2</v>
      </c>
      <c r="P58"/>
    </row>
    <row r="59" spans="1:25" x14ac:dyDescent="0.2">
      <c r="A59" s="3" t="str">
        <f t="shared" si="3"/>
        <v>20179</v>
      </c>
      <c r="B59" s="49">
        <f t="shared" si="4"/>
        <v>2017</v>
      </c>
      <c r="C59" s="52">
        <v>43008</v>
      </c>
      <c r="D59" s="53">
        <f>+Inputs!D59</f>
        <v>20719473.609999999</v>
      </c>
      <c r="E59" s="53">
        <f>VLOOKUP(A59,'[11]HDD CDD Summary'!$R:$T,2,FALSE)</f>
        <v>49.1</v>
      </c>
      <c r="F59" s="53">
        <f>VLOOKUP(A59,'[11]HDD CDD Summary'!$R:$T,3,FALSE)</f>
        <v>71.499999999999986</v>
      </c>
      <c r="G59" s="53">
        <f>+Inputs!G59</f>
        <v>30</v>
      </c>
      <c r="H59" s="105">
        <f t="shared" si="6"/>
        <v>0.33333333333333331</v>
      </c>
      <c r="I59" s="53">
        <f>+Inputs!I59</f>
        <v>320</v>
      </c>
      <c r="J59" s="53">
        <f>+Inputs!J59</f>
        <v>0</v>
      </c>
      <c r="K59" s="53">
        <f>+Inputs!M59</f>
        <v>57</v>
      </c>
      <c r="L59" s="53">
        <f t="shared" si="5"/>
        <v>20930705.654795185</v>
      </c>
      <c r="M59" s="37">
        <f t="shared" si="7"/>
        <v>211232.04479518533</v>
      </c>
      <c r="N59" s="45">
        <f t="shared" si="8"/>
        <v>1.0194855756047623E-2</v>
      </c>
      <c r="O59" s="12">
        <f t="shared" si="2"/>
        <v>1.0194855756047623E-2</v>
      </c>
      <c r="P59"/>
    </row>
    <row r="60" spans="1:25" x14ac:dyDescent="0.2">
      <c r="A60" s="3" t="str">
        <f t="shared" si="3"/>
        <v>201710</v>
      </c>
      <c r="B60" s="49">
        <f t="shared" si="4"/>
        <v>2017</v>
      </c>
      <c r="C60" s="52">
        <v>43039</v>
      </c>
      <c r="D60" s="53">
        <f>+Inputs!D60</f>
        <v>20243543.530000001</v>
      </c>
      <c r="E60" s="53">
        <f>VLOOKUP(A60,'[11]HDD CDD Summary'!$R:$T,2,FALSE)</f>
        <v>153.99999999999997</v>
      </c>
      <c r="F60" s="53">
        <f>VLOOKUP(A60,'[11]HDD CDD Summary'!$R:$T,3,FALSE)</f>
        <v>8.1</v>
      </c>
      <c r="G60" s="53">
        <f>+Inputs!G60</f>
        <v>31</v>
      </c>
      <c r="H60" s="105">
        <f t="shared" si="6"/>
        <v>1</v>
      </c>
      <c r="I60" s="53">
        <f>+Inputs!I60</f>
        <v>336</v>
      </c>
      <c r="J60" s="53">
        <f>+Inputs!J60</f>
        <v>0</v>
      </c>
      <c r="K60" s="53">
        <f>+Inputs!M60</f>
        <v>58</v>
      </c>
      <c r="L60" s="53">
        <f t="shared" si="5"/>
        <v>20252712.413703263</v>
      </c>
      <c r="M60" s="37">
        <f t="shared" si="7"/>
        <v>9168.8837032616138</v>
      </c>
      <c r="N60" s="45">
        <f t="shared" si="8"/>
        <v>4.5292879132913412E-4</v>
      </c>
      <c r="O60" s="12">
        <f t="shared" si="2"/>
        <v>4.5292879132913412E-4</v>
      </c>
      <c r="P60"/>
    </row>
    <row r="61" spans="1:25" x14ac:dyDescent="0.2">
      <c r="A61" s="3" t="str">
        <f t="shared" si="3"/>
        <v>201711</v>
      </c>
      <c r="B61" s="49">
        <f t="shared" si="4"/>
        <v>2017</v>
      </c>
      <c r="C61" s="52">
        <v>43069</v>
      </c>
      <c r="D61" s="53">
        <f>+Inputs!D61</f>
        <v>21468651.379999999</v>
      </c>
      <c r="E61" s="53">
        <f>VLOOKUP(A61,'[11]HDD CDD Summary'!$R:$T,2,FALSE)</f>
        <v>429.35</v>
      </c>
      <c r="F61" s="53">
        <f>VLOOKUP(A61,'[11]HDD CDD Summary'!$R:$T,3,FALSE)</f>
        <v>0</v>
      </c>
      <c r="G61" s="53">
        <f>+Inputs!G61</f>
        <v>30</v>
      </c>
      <c r="H61" s="105">
        <f t="shared" si="6"/>
        <v>1</v>
      </c>
      <c r="I61" s="53">
        <f>+Inputs!I61</f>
        <v>352</v>
      </c>
      <c r="J61" s="53">
        <f>+Inputs!J61</f>
        <v>0</v>
      </c>
      <c r="K61" s="53">
        <f>+Inputs!M61</f>
        <v>59</v>
      </c>
      <c r="L61" s="53">
        <f t="shared" si="5"/>
        <v>21427001.760607451</v>
      </c>
      <c r="M61" s="37">
        <f t="shared" si="7"/>
        <v>-41649.619392547756</v>
      </c>
      <c r="N61" s="45">
        <f t="shared" si="8"/>
        <v>-1.9400202954223834E-3</v>
      </c>
      <c r="O61" s="12">
        <f t="shared" si="2"/>
        <v>1.9400202954223834E-3</v>
      </c>
      <c r="P61"/>
    </row>
    <row r="62" spans="1:25" x14ac:dyDescent="0.2">
      <c r="A62" s="3" t="str">
        <f t="shared" si="3"/>
        <v>201712</v>
      </c>
      <c r="B62" s="49">
        <f t="shared" si="4"/>
        <v>2017</v>
      </c>
      <c r="C62" s="52">
        <v>43100</v>
      </c>
      <c r="D62" s="53">
        <f>+Inputs!D62</f>
        <v>22467268.620000001</v>
      </c>
      <c r="E62" s="53">
        <f>VLOOKUP(A62,'[11]HDD CDD Summary'!$R:$T,2,FALSE)</f>
        <v>718.49999999999989</v>
      </c>
      <c r="F62" s="53">
        <f>VLOOKUP(A62,'[11]HDD CDD Summary'!$R:$T,3,FALSE)</f>
        <v>0</v>
      </c>
      <c r="G62" s="53">
        <f>+Inputs!G62</f>
        <v>31</v>
      </c>
      <c r="H62" s="105">
        <f t="shared" si="6"/>
        <v>0.66666666666666663</v>
      </c>
      <c r="I62" s="53">
        <f>+Inputs!I62</f>
        <v>304</v>
      </c>
      <c r="J62" s="53">
        <f>+Inputs!J62</f>
        <v>0</v>
      </c>
      <c r="K62" s="53">
        <f>+Inputs!M62</f>
        <v>60</v>
      </c>
      <c r="L62" s="53">
        <f t="shared" si="5"/>
        <v>23186870.333286993</v>
      </c>
      <c r="M62" s="37">
        <f t="shared" si="7"/>
        <v>719601.71328699216</v>
      </c>
      <c r="N62" s="45">
        <f t="shared" si="8"/>
        <v>3.2028891693866794E-2</v>
      </c>
      <c r="O62" s="12">
        <f t="shared" si="2"/>
        <v>3.2028891693866794E-2</v>
      </c>
      <c r="P62"/>
    </row>
    <row r="63" spans="1:25" x14ac:dyDescent="0.2">
      <c r="A63" s="3" t="str">
        <f t="shared" si="3"/>
        <v>20181</v>
      </c>
      <c r="B63" s="49">
        <f t="shared" si="4"/>
        <v>2018</v>
      </c>
      <c r="C63" s="52">
        <v>43131</v>
      </c>
      <c r="D63" s="53">
        <f>+Inputs!D63</f>
        <v>24028241.710000001</v>
      </c>
      <c r="E63" s="53">
        <f>VLOOKUP(A63,'[11]HDD CDD Summary'!$R:$T,2,FALSE)</f>
        <v>732.29999999999984</v>
      </c>
      <c r="F63" s="53">
        <f>VLOOKUP(A63,'[11]HDD CDD Summary'!$R:$T,3,FALSE)</f>
        <v>0</v>
      </c>
      <c r="G63" s="53">
        <f>+Inputs!G63</f>
        <v>31</v>
      </c>
      <c r="H63" s="105">
        <f t="shared" si="6"/>
        <v>0</v>
      </c>
      <c r="I63" s="53">
        <f>+Inputs!I63</f>
        <v>352</v>
      </c>
      <c r="J63" s="53">
        <f>+Inputs!J63</f>
        <v>0</v>
      </c>
      <c r="K63" s="53">
        <f>+Inputs!M63</f>
        <v>61</v>
      </c>
      <c r="L63" s="53">
        <f t="shared" si="5"/>
        <v>24164984.078495026</v>
      </c>
      <c r="M63" s="37">
        <f t="shared" si="7"/>
        <v>136742.36849502474</v>
      </c>
      <c r="N63" s="45">
        <f t="shared" si="8"/>
        <v>5.6909019871443905E-3</v>
      </c>
      <c r="O63" s="12">
        <f t="shared" si="2"/>
        <v>5.6909019871443905E-3</v>
      </c>
      <c r="P63"/>
    </row>
    <row r="64" spans="1:25" x14ac:dyDescent="0.2">
      <c r="A64" s="3" t="str">
        <f t="shared" si="3"/>
        <v>20182</v>
      </c>
      <c r="B64" s="49">
        <f t="shared" si="4"/>
        <v>2018</v>
      </c>
      <c r="C64" s="52">
        <v>43159</v>
      </c>
      <c r="D64" s="53">
        <f>+Inputs!D64</f>
        <v>20985005.432913534</v>
      </c>
      <c r="E64" s="53">
        <f>VLOOKUP(A64,'[11]HDD CDD Summary'!$R:$T,2,FALSE)</f>
        <v>555.00000000000023</v>
      </c>
      <c r="F64" s="53">
        <f>VLOOKUP(A64,'[11]HDD CDD Summary'!$R:$T,3,FALSE)</f>
        <v>0</v>
      </c>
      <c r="G64" s="53">
        <f>+Inputs!G64</f>
        <v>28</v>
      </c>
      <c r="H64" s="105">
        <f t="shared" si="6"/>
        <v>0</v>
      </c>
      <c r="I64" s="53">
        <f>+Inputs!I64</f>
        <v>304</v>
      </c>
      <c r="J64" s="53">
        <f>+Inputs!J64</f>
        <v>0</v>
      </c>
      <c r="K64" s="53">
        <f>+Inputs!M64</f>
        <v>62</v>
      </c>
      <c r="L64" s="53">
        <f t="shared" si="5"/>
        <v>21355979.084457558</v>
      </c>
      <c r="M64" s="37">
        <f t="shared" si="7"/>
        <v>370973.65154402331</v>
      </c>
      <c r="N64" s="45">
        <f t="shared" si="8"/>
        <v>1.7678034572351203E-2</v>
      </c>
      <c r="O64" s="12">
        <f t="shared" si="2"/>
        <v>1.7678034572351203E-2</v>
      </c>
      <c r="P64"/>
    </row>
    <row r="65" spans="1:16" x14ac:dyDescent="0.2">
      <c r="A65" s="3" t="str">
        <f t="shared" si="3"/>
        <v>20183</v>
      </c>
      <c r="B65" s="49">
        <f t="shared" si="4"/>
        <v>2018</v>
      </c>
      <c r="C65" s="52">
        <v>43190</v>
      </c>
      <c r="D65" s="53">
        <f>+Inputs!D65</f>
        <v>22598880.590000004</v>
      </c>
      <c r="E65" s="53">
        <f>VLOOKUP(A65,'[11]HDD CDD Summary'!$R:$T,2,FALSE)</f>
        <v>553.99999999999989</v>
      </c>
      <c r="F65" s="53">
        <f>VLOOKUP(A65,'[11]HDD CDD Summary'!$R:$T,3,FALSE)</f>
        <v>0</v>
      </c>
      <c r="G65" s="53">
        <f>+Inputs!G65</f>
        <v>31</v>
      </c>
      <c r="H65" s="105">
        <f t="shared" si="6"/>
        <v>0.33333333333333331</v>
      </c>
      <c r="I65" s="53">
        <f>+Inputs!I65</f>
        <v>336</v>
      </c>
      <c r="J65" s="53">
        <f>+Inputs!J65</f>
        <v>0</v>
      </c>
      <c r="K65" s="53">
        <f>+Inputs!M65</f>
        <v>63</v>
      </c>
      <c r="L65" s="53">
        <f t="shared" si="5"/>
        <v>22806177.785255957</v>
      </c>
      <c r="M65" s="37">
        <f t="shared" si="7"/>
        <v>207297.19525595382</v>
      </c>
      <c r="N65" s="45">
        <f t="shared" si="8"/>
        <v>9.1728966145200458E-3</v>
      </c>
      <c r="O65" s="12">
        <f t="shared" si="2"/>
        <v>9.1728966145200458E-3</v>
      </c>
    </row>
    <row r="66" spans="1:16" x14ac:dyDescent="0.2">
      <c r="A66" s="3" t="str">
        <f t="shared" si="3"/>
        <v>20184</v>
      </c>
      <c r="B66" s="49">
        <f t="shared" si="4"/>
        <v>2018</v>
      </c>
      <c r="C66" s="52">
        <v>43220</v>
      </c>
      <c r="D66" s="53">
        <f>+Inputs!D66</f>
        <v>21216588.68</v>
      </c>
      <c r="E66" s="53">
        <f>VLOOKUP(A66,'[11]HDD CDD Summary'!$R:$T,2,FALSE)</f>
        <v>437.20000000000005</v>
      </c>
      <c r="F66" s="53">
        <f>VLOOKUP(A66,'[11]HDD CDD Summary'!$R:$T,3,FALSE)</f>
        <v>0</v>
      </c>
      <c r="G66" s="53">
        <f>+Inputs!G66</f>
        <v>30</v>
      </c>
      <c r="H66" s="105">
        <f t="shared" si="6"/>
        <v>1</v>
      </c>
      <c r="I66" s="53">
        <f>+Inputs!I66</f>
        <v>336</v>
      </c>
      <c r="J66" s="53">
        <f>+Inputs!J66</f>
        <v>0</v>
      </c>
      <c r="K66" s="53">
        <f>+Inputs!M66</f>
        <v>64</v>
      </c>
      <c r="L66" s="53">
        <f t="shared" si="5"/>
        <v>21370998.975196201</v>
      </c>
      <c r="M66" s="37">
        <f t="shared" si="7"/>
        <v>154410.29519620165</v>
      </c>
      <c r="N66" s="45">
        <f t="shared" si="8"/>
        <v>7.2778097141392882E-3</v>
      </c>
      <c r="O66" s="12">
        <f t="shared" si="2"/>
        <v>7.2778097141392882E-3</v>
      </c>
    </row>
    <row r="67" spans="1:16" x14ac:dyDescent="0.2">
      <c r="A67" s="3" t="str">
        <f t="shared" si="3"/>
        <v>20185</v>
      </c>
      <c r="B67" s="49">
        <f t="shared" si="4"/>
        <v>2018</v>
      </c>
      <c r="C67" s="52">
        <v>43251</v>
      </c>
      <c r="D67" s="53">
        <f>+Inputs!D67</f>
        <v>21095556.57</v>
      </c>
      <c r="E67" s="53">
        <f>VLOOKUP(A67,'[11]HDD CDD Summary'!$R:$T,2,FALSE)</f>
        <v>75.3</v>
      </c>
      <c r="F67" s="53">
        <f>VLOOKUP(A67,'[11]HDD CDD Summary'!$R:$T,3,FALSE)</f>
        <v>43.4</v>
      </c>
      <c r="G67" s="53">
        <f>+Inputs!G67</f>
        <v>31</v>
      </c>
      <c r="H67" s="105">
        <f t="shared" si="6"/>
        <v>1</v>
      </c>
      <c r="I67" s="53">
        <f>+Inputs!I67</f>
        <v>352</v>
      </c>
      <c r="J67" s="53">
        <f>+Inputs!J67</f>
        <v>0</v>
      </c>
      <c r="K67" s="53">
        <f>+Inputs!M67</f>
        <v>65</v>
      </c>
      <c r="L67" s="53">
        <f t="shared" si="5"/>
        <v>20941452.924911946</v>
      </c>
      <c r="M67" s="37">
        <f t="shared" ref="M67:M98" si="9">L67-D67</f>
        <v>-154103.64508805424</v>
      </c>
      <c r="N67" s="45">
        <f t="shared" ref="N67:N98" si="10">M67/D67</f>
        <v>-7.3050286479383574E-3</v>
      </c>
      <c r="O67" s="12">
        <f t="shared" ref="O67:O122" si="11">ABS(N67)</f>
        <v>7.3050286479383574E-3</v>
      </c>
    </row>
    <row r="68" spans="1:16" x14ac:dyDescent="0.2">
      <c r="A68" s="3" t="str">
        <f t="shared" ref="A68:A131" si="12">YEAR(C68)&amp;MONTH(C68)</f>
        <v>20186</v>
      </c>
      <c r="B68" s="49">
        <f t="shared" ref="B68:B131" si="13">YEAR(C68)</f>
        <v>2018</v>
      </c>
      <c r="C68" s="52">
        <v>43281</v>
      </c>
      <c r="D68" s="53">
        <f>+Inputs!D68</f>
        <v>21446304.349999998</v>
      </c>
      <c r="E68" s="53">
        <f>VLOOKUP(A68,'[11]HDD CDD Summary'!$R:$T,2,FALSE)</f>
        <v>14.799999999999999</v>
      </c>
      <c r="F68" s="53">
        <f>VLOOKUP(A68,'[11]HDD CDD Summary'!$R:$T,3,FALSE)</f>
        <v>60.5</v>
      </c>
      <c r="G68" s="53">
        <f>+Inputs!G68</f>
        <v>30</v>
      </c>
      <c r="H68" s="105">
        <f t="shared" si="6"/>
        <v>0.66666666666666663</v>
      </c>
      <c r="I68" s="53">
        <f>+Inputs!I68</f>
        <v>336</v>
      </c>
      <c r="J68" s="53">
        <f>+Inputs!J68</f>
        <v>0</v>
      </c>
      <c r="K68" s="53">
        <f>+Inputs!M68</f>
        <v>66</v>
      </c>
      <c r="L68" s="53">
        <f t="shared" ref="L68:L131" si="14">$R$18+$R$19*E68+$R$20*F68+$R$21*G68+$R$22*H68+$R$23*I68+J68*$R$24+K68*$R$25</f>
        <v>20600521.25574559</v>
      </c>
      <c r="M68" s="37">
        <f t="shared" si="9"/>
        <v>-845783.09425440803</v>
      </c>
      <c r="N68" s="45">
        <f t="shared" si="10"/>
        <v>-3.9437241981246436E-2</v>
      </c>
      <c r="O68" s="12">
        <f t="shared" si="11"/>
        <v>3.9437241981246436E-2</v>
      </c>
    </row>
    <row r="69" spans="1:16" x14ac:dyDescent="0.2">
      <c r="A69" s="3" t="str">
        <f t="shared" si="12"/>
        <v>20187</v>
      </c>
      <c r="B69" s="49">
        <f t="shared" si="13"/>
        <v>2018</v>
      </c>
      <c r="C69" s="52">
        <v>43312</v>
      </c>
      <c r="D69" s="53">
        <f>+Inputs!D69</f>
        <v>23894162.989999998</v>
      </c>
      <c r="E69" s="53">
        <f>VLOOKUP(A69,'[11]HDD CDD Summary'!$R:$T,2,FALSE)</f>
        <v>0</v>
      </c>
      <c r="F69" s="53">
        <f>VLOOKUP(A69,'[11]HDD CDD Summary'!$R:$T,3,FALSE)</f>
        <v>167.8</v>
      </c>
      <c r="G69" s="53">
        <f>+Inputs!G69</f>
        <v>31</v>
      </c>
      <c r="H69" s="105">
        <f t="shared" si="6"/>
        <v>0</v>
      </c>
      <c r="I69" s="53">
        <f>+Inputs!I69</f>
        <v>336</v>
      </c>
      <c r="J69" s="53">
        <f>+Inputs!J69</f>
        <v>0</v>
      </c>
      <c r="K69" s="53">
        <f>+Inputs!M69</f>
        <v>67</v>
      </c>
      <c r="L69" s="53">
        <f t="shared" si="14"/>
        <v>23924075.2784978</v>
      </c>
      <c r="M69" s="37">
        <f t="shared" si="9"/>
        <v>29912.28849780187</v>
      </c>
      <c r="N69" s="45">
        <f t="shared" si="10"/>
        <v>1.2518659268508602E-3</v>
      </c>
      <c r="O69" s="12">
        <f t="shared" si="11"/>
        <v>1.2518659268508602E-3</v>
      </c>
    </row>
    <row r="70" spans="1:16" x14ac:dyDescent="0.2">
      <c r="A70" s="3" t="str">
        <f t="shared" si="12"/>
        <v>20188</v>
      </c>
      <c r="B70" s="49">
        <f t="shared" si="13"/>
        <v>2018</v>
      </c>
      <c r="C70" s="52">
        <v>43343</v>
      </c>
      <c r="D70" s="53">
        <f>+Inputs!D70</f>
        <v>23956344.050000001</v>
      </c>
      <c r="E70" s="53">
        <f>VLOOKUP(A70,'[11]HDD CDD Summary'!$R:$T,2,FALSE)</f>
        <v>1.2</v>
      </c>
      <c r="F70" s="53">
        <f>VLOOKUP(A70,'[11]HDD CDD Summary'!$R:$T,3,FALSE)</f>
        <v>162.4</v>
      </c>
      <c r="G70" s="53">
        <f>+Inputs!G70</f>
        <v>31</v>
      </c>
      <c r="H70" s="105">
        <f t="shared" si="6"/>
        <v>0</v>
      </c>
      <c r="I70" s="53">
        <f>+Inputs!I70</f>
        <v>368</v>
      </c>
      <c r="J70" s="53">
        <f>+Inputs!J70</f>
        <v>0</v>
      </c>
      <c r="K70" s="53">
        <f>+Inputs!M70</f>
        <v>68</v>
      </c>
      <c r="L70" s="53">
        <f t="shared" si="14"/>
        <v>24168782.359042674</v>
      </c>
      <c r="M70" s="37">
        <f t="shared" si="9"/>
        <v>212438.30904267356</v>
      </c>
      <c r="N70" s="45">
        <f t="shared" si="10"/>
        <v>8.8677265862974423E-3</v>
      </c>
      <c r="O70" s="12">
        <f t="shared" si="11"/>
        <v>8.8677265862974423E-3</v>
      </c>
    </row>
    <row r="71" spans="1:16" x14ac:dyDescent="0.2">
      <c r="A71" s="3" t="str">
        <f t="shared" si="12"/>
        <v>20189</v>
      </c>
      <c r="B71" s="49">
        <f t="shared" si="13"/>
        <v>2018</v>
      </c>
      <c r="C71" s="52">
        <v>43373</v>
      </c>
      <c r="D71" s="53">
        <f>+Inputs!D71</f>
        <v>21668452.539136905</v>
      </c>
      <c r="E71" s="53">
        <f>VLOOKUP(A71,'[11]HDD CDD Summary'!$R:$T,2,FALSE)</f>
        <v>45.04999999999999</v>
      </c>
      <c r="F71" s="53">
        <f>VLOOKUP(A71,'[11]HDD CDD Summary'!$R:$T,3,FALSE)</f>
        <v>76.399999999999977</v>
      </c>
      <c r="G71" s="53">
        <f>+Inputs!G71</f>
        <v>30</v>
      </c>
      <c r="H71" s="105">
        <f t="shared" si="6"/>
        <v>0.33333333333333331</v>
      </c>
      <c r="I71" s="53">
        <f>+Inputs!I71</f>
        <v>304</v>
      </c>
      <c r="J71" s="53">
        <f>+Inputs!J71</f>
        <v>0</v>
      </c>
      <c r="K71" s="53">
        <f>+Inputs!M71</f>
        <v>69</v>
      </c>
      <c r="L71" s="53">
        <f t="shared" si="14"/>
        <v>21031260.463912033</v>
      </c>
      <c r="M71" s="37">
        <f t="shared" si="9"/>
        <v>-637192.07522487268</v>
      </c>
      <c r="N71" s="45">
        <f t="shared" si="10"/>
        <v>-2.9406441187897269E-2</v>
      </c>
      <c r="O71" s="12">
        <f t="shared" si="11"/>
        <v>2.9406441187897269E-2</v>
      </c>
    </row>
    <row r="72" spans="1:16" x14ac:dyDescent="0.2">
      <c r="A72" s="3" t="str">
        <f t="shared" si="12"/>
        <v>201810</v>
      </c>
      <c r="B72" s="49">
        <f t="shared" si="13"/>
        <v>2018</v>
      </c>
      <c r="C72" s="52">
        <v>43404</v>
      </c>
      <c r="D72" s="53">
        <f>+Inputs!D72</f>
        <v>21228062.899999999</v>
      </c>
      <c r="E72" s="53">
        <f>VLOOKUP(A72,'[11]HDD CDD Summary'!$R:$T,2,FALSE)</f>
        <v>289.40000000000003</v>
      </c>
      <c r="F72" s="53">
        <f>VLOOKUP(A72,'[11]HDD CDD Summary'!$R:$T,3,FALSE)</f>
        <v>8.1999999999999993</v>
      </c>
      <c r="G72" s="53">
        <f>+Inputs!G72</f>
        <v>31</v>
      </c>
      <c r="H72" s="105">
        <f t="shared" si="6"/>
        <v>1</v>
      </c>
      <c r="I72" s="53">
        <f>+Inputs!I72</f>
        <v>352</v>
      </c>
      <c r="J72" s="53">
        <f>+Inputs!J72</f>
        <v>0</v>
      </c>
      <c r="K72" s="53">
        <f>+Inputs!M72</f>
        <v>70</v>
      </c>
      <c r="L72" s="53">
        <f t="shared" si="14"/>
        <v>21401064.393145282</v>
      </c>
      <c r="M72" s="37">
        <f t="shared" si="9"/>
        <v>173001.49314528331</v>
      </c>
      <c r="N72" s="45">
        <f t="shared" si="10"/>
        <v>8.1496599082191024E-3</v>
      </c>
      <c r="O72" s="12">
        <f t="shared" si="11"/>
        <v>8.1496599082191024E-3</v>
      </c>
    </row>
    <row r="73" spans="1:16" x14ac:dyDescent="0.2">
      <c r="A73" s="3" t="str">
        <f t="shared" si="12"/>
        <v>201811</v>
      </c>
      <c r="B73" s="49">
        <f t="shared" si="13"/>
        <v>2018</v>
      </c>
      <c r="C73" s="52">
        <v>43434</v>
      </c>
      <c r="D73" s="53">
        <f>+Inputs!D73</f>
        <v>22168373.890000001</v>
      </c>
      <c r="E73" s="53">
        <f>VLOOKUP(A73,'[11]HDD CDD Summary'!$R:$T,2,FALSE)</f>
        <v>494.1</v>
      </c>
      <c r="F73" s="53">
        <f>VLOOKUP(A73,'[11]HDD CDD Summary'!$R:$T,3,FALSE)</f>
        <v>0</v>
      </c>
      <c r="G73" s="53">
        <f>+Inputs!G73</f>
        <v>30</v>
      </c>
      <c r="H73" s="105">
        <f t="shared" si="6"/>
        <v>1</v>
      </c>
      <c r="I73" s="53">
        <f>+Inputs!I73</f>
        <v>352</v>
      </c>
      <c r="J73" s="53">
        <f>+Inputs!J73</f>
        <v>0</v>
      </c>
      <c r="K73" s="53">
        <f>+Inputs!M73</f>
        <v>71</v>
      </c>
      <c r="L73" s="53">
        <f t="shared" si="14"/>
        <v>21984964.76740412</v>
      </c>
      <c r="M73" s="37">
        <f t="shared" si="9"/>
        <v>-183409.12259588018</v>
      </c>
      <c r="N73" s="45">
        <f t="shared" si="10"/>
        <v>-8.2734585543333319E-3</v>
      </c>
      <c r="O73" s="12">
        <f t="shared" si="11"/>
        <v>8.2734585543333319E-3</v>
      </c>
    </row>
    <row r="74" spans="1:16" x14ac:dyDescent="0.2">
      <c r="A74" s="3" t="str">
        <f t="shared" si="12"/>
        <v>201812</v>
      </c>
      <c r="B74" s="49">
        <f t="shared" si="13"/>
        <v>2018</v>
      </c>
      <c r="C74" s="52">
        <v>43465</v>
      </c>
      <c r="D74" s="53">
        <f>+Inputs!D74</f>
        <v>22187282.27</v>
      </c>
      <c r="E74" s="53">
        <f>VLOOKUP(A74,'[11]HDD CDD Summary'!$R:$T,2,FALSE)</f>
        <v>563.60000000000014</v>
      </c>
      <c r="F74" s="53">
        <f>VLOOKUP(A74,'[11]HDD CDD Summary'!$R:$T,3,FALSE)</f>
        <v>0</v>
      </c>
      <c r="G74" s="53">
        <f>+Inputs!G74</f>
        <v>31</v>
      </c>
      <c r="H74" s="105">
        <f t="shared" si="6"/>
        <v>0.66666666666666663</v>
      </c>
      <c r="I74" s="53">
        <f>+Inputs!I74</f>
        <v>304</v>
      </c>
      <c r="J74" s="53">
        <f>+Inputs!J74</f>
        <v>0</v>
      </c>
      <c r="K74" s="53">
        <f>+Inputs!M74</f>
        <v>72</v>
      </c>
      <c r="L74" s="53">
        <f t="shared" si="14"/>
        <v>22468150.974480029</v>
      </c>
      <c r="M74" s="37">
        <f t="shared" si="9"/>
        <v>280868.70448002964</v>
      </c>
      <c r="N74" s="45">
        <f t="shared" si="10"/>
        <v>1.2658995412872152E-2</v>
      </c>
      <c r="O74" s="12">
        <f t="shared" si="11"/>
        <v>1.2658995412872152E-2</v>
      </c>
    </row>
    <row r="75" spans="1:16" x14ac:dyDescent="0.2">
      <c r="A75" s="3" t="str">
        <f t="shared" si="12"/>
        <v>20191</v>
      </c>
      <c r="B75" s="49">
        <f t="shared" si="13"/>
        <v>2019</v>
      </c>
      <c r="C75" s="52">
        <v>43496</v>
      </c>
      <c r="D75" s="53">
        <f>+Inputs!D75</f>
        <v>24587574.760000002</v>
      </c>
      <c r="E75" s="53">
        <f>VLOOKUP(A75,'[11]HDD CDD Summary'!$R:$T,2,FALSE)</f>
        <v>764.5</v>
      </c>
      <c r="F75" s="53">
        <f>VLOOKUP(A75,'[11]HDD CDD Summary'!$R:$T,3,FALSE)</f>
        <v>0</v>
      </c>
      <c r="G75" s="53">
        <f>+Inputs!G75</f>
        <v>31</v>
      </c>
      <c r="H75" s="105">
        <f t="shared" si="6"/>
        <v>0</v>
      </c>
      <c r="I75" s="53">
        <f>+Inputs!I75</f>
        <v>352</v>
      </c>
      <c r="J75" s="53">
        <f>+Inputs!J75</f>
        <v>0</v>
      </c>
      <c r="K75" s="53">
        <f>+Inputs!M75</f>
        <v>73</v>
      </c>
      <c r="L75" s="53">
        <f t="shared" si="14"/>
        <v>24533755.139011711</v>
      </c>
      <c r="M75" s="37">
        <f t="shared" si="9"/>
        <v>-53819.620988290757</v>
      </c>
      <c r="N75" s="45">
        <f t="shared" si="10"/>
        <v>-2.1888950623892584E-3</v>
      </c>
      <c r="O75" s="12">
        <f t="shared" si="11"/>
        <v>2.1888950623892584E-3</v>
      </c>
      <c r="P75" s="46"/>
    </row>
    <row r="76" spans="1:16" x14ac:dyDescent="0.2">
      <c r="A76" s="3" t="str">
        <f t="shared" si="12"/>
        <v>20192</v>
      </c>
      <c r="B76" s="49">
        <f t="shared" si="13"/>
        <v>2019</v>
      </c>
      <c r="C76" s="52">
        <v>43524</v>
      </c>
      <c r="D76" s="53">
        <f>+Inputs!D76</f>
        <v>21580871.099999998</v>
      </c>
      <c r="E76" s="53">
        <f>VLOOKUP(A76,'[11]HDD CDD Summary'!$R:$T,2,FALSE)</f>
        <v>621.70000000000016</v>
      </c>
      <c r="F76" s="53">
        <f>VLOOKUP(A76,'[11]HDD CDD Summary'!$R:$T,3,FALSE)</f>
        <v>0</v>
      </c>
      <c r="G76" s="53">
        <f>+Inputs!G76</f>
        <v>28</v>
      </c>
      <c r="H76" s="105">
        <f t="shared" si="6"/>
        <v>0</v>
      </c>
      <c r="I76" s="53">
        <f>+Inputs!I76</f>
        <v>304</v>
      </c>
      <c r="J76" s="53">
        <f>+Inputs!J76</f>
        <v>0</v>
      </c>
      <c r="K76" s="53">
        <f>+Inputs!M76</f>
        <v>74</v>
      </c>
      <c r="L76" s="53">
        <f t="shared" si="14"/>
        <v>21925276.170985281</v>
      </c>
      <c r="M76" s="37">
        <f t="shared" si="9"/>
        <v>344405.0709852837</v>
      </c>
      <c r="N76" s="45">
        <f t="shared" si="10"/>
        <v>1.595881229211752E-2</v>
      </c>
      <c r="O76" s="12">
        <f t="shared" si="11"/>
        <v>1.595881229211752E-2</v>
      </c>
    </row>
    <row r="77" spans="1:16" x14ac:dyDescent="0.2">
      <c r="A77" s="3" t="str">
        <f t="shared" si="12"/>
        <v>20193</v>
      </c>
      <c r="B77" s="49">
        <f t="shared" si="13"/>
        <v>2019</v>
      </c>
      <c r="C77" s="52">
        <v>43555</v>
      </c>
      <c r="D77" s="53">
        <f>+Inputs!D77</f>
        <v>23246608.300000001</v>
      </c>
      <c r="E77" s="53">
        <f>VLOOKUP(A77,'[11]HDD CDD Summary'!$R:$T,2,FALSE)</f>
        <v>593.90000000000009</v>
      </c>
      <c r="F77" s="53">
        <f>VLOOKUP(A77,'[11]HDD CDD Summary'!$R:$T,3,FALSE)</f>
        <v>0</v>
      </c>
      <c r="G77" s="53">
        <f>+Inputs!G77</f>
        <v>31</v>
      </c>
      <c r="H77" s="105">
        <f t="shared" si="6"/>
        <v>0.33333333333333331</v>
      </c>
      <c r="I77" s="53">
        <f>+Inputs!I77</f>
        <v>336</v>
      </c>
      <c r="J77" s="53">
        <f>+Inputs!J77</f>
        <v>0</v>
      </c>
      <c r="K77" s="53">
        <f>+Inputs!M77</f>
        <v>75</v>
      </c>
      <c r="L77" s="53">
        <f t="shared" si="14"/>
        <v>23219703.929838877</v>
      </c>
      <c r="M77" s="37">
        <f t="shared" si="9"/>
        <v>-26904.370161123574</v>
      </c>
      <c r="N77" s="45">
        <f t="shared" si="10"/>
        <v>-1.1573460443742914E-3</v>
      </c>
      <c r="O77" s="12">
        <f t="shared" si="11"/>
        <v>1.1573460443742914E-3</v>
      </c>
    </row>
    <row r="78" spans="1:16" x14ac:dyDescent="0.2">
      <c r="A78" s="3" t="str">
        <f t="shared" si="12"/>
        <v>20194</v>
      </c>
      <c r="B78" s="49">
        <f t="shared" si="13"/>
        <v>2019</v>
      </c>
      <c r="C78" s="52">
        <v>43585</v>
      </c>
      <c r="D78" s="53">
        <f>+Inputs!D78</f>
        <v>20642403.32</v>
      </c>
      <c r="E78" s="53">
        <f>VLOOKUP(A78,'[11]HDD CDD Summary'!$R:$T,2,FALSE)</f>
        <v>346.8</v>
      </c>
      <c r="F78" s="53">
        <f>VLOOKUP(A78,'[11]HDD CDD Summary'!$R:$T,3,FALSE)</f>
        <v>0</v>
      </c>
      <c r="G78" s="53">
        <f>+Inputs!G78</f>
        <v>30</v>
      </c>
      <c r="H78" s="105">
        <f t="shared" si="6"/>
        <v>1</v>
      </c>
      <c r="I78" s="53">
        <f>+Inputs!I78</f>
        <v>336</v>
      </c>
      <c r="J78" s="53">
        <f>+Inputs!J78</f>
        <v>0</v>
      </c>
      <c r="K78" s="53">
        <f>+Inputs!M78</f>
        <v>76</v>
      </c>
      <c r="L78" s="53">
        <f t="shared" si="14"/>
        <v>21027176.099801183</v>
      </c>
      <c r="M78" s="37">
        <f t="shared" si="9"/>
        <v>384772.77980118245</v>
      </c>
      <c r="N78" s="45">
        <f t="shared" si="10"/>
        <v>1.86399216136032E-2</v>
      </c>
      <c r="O78" s="12">
        <f t="shared" si="11"/>
        <v>1.86399216136032E-2</v>
      </c>
    </row>
    <row r="79" spans="1:16" x14ac:dyDescent="0.2">
      <c r="A79" s="3" t="str">
        <f t="shared" si="12"/>
        <v>20195</v>
      </c>
      <c r="B79" s="49">
        <f t="shared" si="13"/>
        <v>2019</v>
      </c>
      <c r="C79" s="52">
        <v>43616</v>
      </c>
      <c r="D79" s="53">
        <f>+Inputs!D79</f>
        <v>20313028.579999998</v>
      </c>
      <c r="E79" s="53">
        <f>VLOOKUP(A79,'[11]HDD CDD Summary'!$R:$T,2,FALSE)</f>
        <v>189.94999999999996</v>
      </c>
      <c r="F79" s="53">
        <f>VLOOKUP(A79,'[11]HDD CDD Summary'!$R:$T,3,FALSE)</f>
        <v>0</v>
      </c>
      <c r="G79" s="53">
        <f>+Inputs!G79</f>
        <v>31</v>
      </c>
      <c r="H79" s="105">
        <f t="shared" si="6"/>
        <v>1</v>
      </c>
      <c r="I79" s="53">
        <f>+Inputs!I79</f>
        <v>352</v>
      </c>
      <c r="J79" s="53">
        <f>+Inputs!J79</f>
        <v>0</v>
      </c>
      <c r="K79" s="53">
        <f>+Inputs!M79</f>
        <v>77</v>
      </c>
      <c r="L79" s="53">
        <f t="shared" si="14"/>
        <v>20728513.692649454</v>
      </c>
      <c r="M79" s="37">
        <f t="shared" si="9"/>
        <v>415485.11264945567</v>
      </c>
      <c r="N79" s="45">
        <f t="shared" si="10"/>
        <v>2.0454119434387942E-2</v>
      </c>
      <c r="O79" s="12">
        <f t="shared" si="11"/>
        <v>2.0454119434387942E-2</v>
      </c>
    </row>
    <row r="80" spans="1:16" x14ac:dyDescent="0.2">
      <c r="A80" s="3" t="str">
        <f t="shared" si="12"/>
        <v>20196</v>
      </c>
      <c r="B80" s="49">
        <f t="shared" si="13"/>
        <v>2019</v>
      </c>
      <c r="C80" s="52">
        <v>43646</v>
      </c>
      <c r="D80" s="53">
        <f>+Inputs!D80</f>
        <v>20039267.039999999</v>
      </c>
      <c r="E80" s="53">
        <f>VLOOKUP(A80,'[11]HDD CDD Summary'!$R:$T,2,FALSE)</f>
        <v>35.5</v>
      </c>
      <c r="F80" s="53">
        <f>VLOOKUP(A80,'[11]HDD CDD Summary'!$R:$T,3,FALSE)</f>
        <v>41.300000000000004</v>
      </c>
      <c r="G80" s="53">
        <f>+Inputs!G80</f>
        <v>30</v>
      </c>
      <c r="H80" s="105">
        <f t="shared" ref="H80:H143" si="15">+H68</f>
        <v>0.66666666666666663</v>
      </c>
      <c r="I80" s="53">
        <f>+Inputs!I80</f>
        <v>320</v>
      </c>
      <c r="J80" s="53">
        <f>+Inputs!J80</f>
        <v>0</v>
      </c>
      <c r="K80" s="53">
        <f>+Inputs!M80</f>
        <v>78</v>
      </c>
      <c r="L80" s="53">
        <f t="shared" si="14"/>
        <v>20255793.069172461</v>
      </c>
      <c r="M80" s="37">
        <f t="shared" si="9"/>
        <v>216526.02917246148</v>
      </c>
      <c r="N80" s="45">
        <f t="shared" si="10"/>
        <v>1.080508726892346E-2</v>
      </c>
      <c r="O80" s="12">
        <f t="shared" si="11"/>
        <v>1.080508726892346E-2</v>
      </c>
    </row>
    <row r="81" spans="1:16" x14ac:dyDescent="0.2">
      <c r="A81" s="3" t="str">
        <f t="shared" si="12"/>
        <v>20197</v>
      </c>
      <c r="B81" s="49">
        <f t="shared" si="13"/>
        <v>2019</v>
      </c>
      <c r="C81" s="52">
        <v>43677</v>
      </c>
      <c r="D81" s="53">
        <f>+Inputs!D81</f>
        <v>24391822</v>
      </c>
      <c r="E81" s="53">
        <f>VLOOKUP(A81,'[11]HDD CDD Summary'!$R:$T,2,FALSE)</f>
        <v>0</v>
      </c>
      <c r="F81" s="53">
        <f>VLOOKUP(A81,'[11]HDD CDD Summary'!$R:$T,3,FALSE)</f>
        <v>166.90000000000003</v>
      </c>
      <c r="G81" s="53">
        <f>+Inputs!G81</f>
        <v>31</v>
      </c>
      <c r="H81" s="105">
        <f t="shared" si="15"/>
        <v>0</v>
      </c>
      <c r="I81" s="53">
        <f>+Inputs!I81</f>
        <v>352</v>
      </c>
      <c r="J81" s="53">
        <f>+Inputs!J81</f>
        <v>0</v>
      </c>
      <c r="K81" s="53">
        <f>+Inputs!M81</f>
        <v>79</v>
      </c>
      <c r="L81" s="53">
        <f t="shared" si="14"/>
        <v>24260989.674185235</v>
      </c>
      <c r="M81" s="37">
        <f t="shared" si="9"/>
        <v>-130832.32581476495</v>
      </c>
      <c r="N81" s="45">
        <f t="shared" si="10"/>
        <v>-5.3637783112210702E-3</v>
      </c>
      <c r="O81" s="12">
        <f t="shared" si="11"/>
        <v>5.3637783112210702E-3</v>
      </c>
      <c r="P81"/>
    </row>
    <row r="82" spans="1:16" x14ac:dyDescent="0.2">
      <c r="A82" s="3" t="str">
        <f t="shared" si="12"/>
        <v>20198</v>
      </c>
      <c r="B82" s="49">
        <f t="shared" si="13"/>
        <v>2019</v>
      </c>
      <c r="C82" s="52">
        <v>43708</v>
      </c>
      <c r="D82" s="53">
        <f>+Inputs!D82</f>
        <v>22245573.850000001</v>
      </c>
      <c r="E82" s="53">
        <f>VLOOKUP(A82,'[11]HDD CDD Summary'!$R:$T,2,FALSE)</f>
        <v>0.89999999999999991</v>
      </c>
      <c r="F82" s="53">
        <f>VLOOKUP(A82,'[11]HDD CDD Summary'!$R:$T,3,FALSE)</f>
        <v>103.30000000000003</v>
      </c>
      <c r="G82" s="53">
        <f>+Inputs!G82</f>
        <v>31</v>
      </c>
      <c r="H82" s="105">
        <f t="shared" si="15"/>
        <v>0</v>
      </c>
      <c r="I82" s="53">
        <f>+Inputs!I82</f>
        <v>352</v>
      </c>
      <c r="J82" s="53">
        <f>+Inputs!J82</f>
        <v>0</v>
      </c>
      <c r="K82" s="53">
        <f>+Inputs!M82</f>
        <v>80</v>
      </c>
      <c r="L82" s="53">
        <f t="shared" si="14"/>
        <v>22726615.970150977</v>
      </c>
      <c r="M82" s="37">
        <f t="shared" si="9"/>
        <v>481042.12015097588</v>
      </c>
      <c r="N82" s="45">
        <f t="shared" si="10"/>
        <v>2.1624172223859078E-2</v>
      </c>
      <c r="O82" s="12">
        <f t="shared" si="11"/>
        <v>2.1624172223859078E-2</v>
      </c>
      <c r="P82"/>
    </row>
    <row r="83" spans="1:16" x14ac:dyDescent="0.2">
      <c r="A83" s="3" t="str">
        <f t="shared" si="12"/>
        <v>20199</v>
      </c>
      <c r="B83" s="49">
        <f t="shared" si="13"/>
        <v>2019</v>
      </c>
      <c r="C83" s="52">
        <v>43738</v>
      </c>
      <c r="D83" s="53">
        <f>+Inputs!D83</f>
        <v>20055564.270000003</v>
      </c>
      <c r="E83" s="53">
        <f>VLOOKUP(A83,'[11]HDD CDD Summary'!$R:$T,2,FALSE)</f>
        <v>38.400000000000006</v>
      </c>
      <c r="F83" s="53">
        <f>VLOOKUP(A83,'[11]HDD CDD Summary'!$R:$T,3,FALSE)</f>
        <v>25.400000000000002</v>
      </c>
      <c r="G83" s="53">
        <f>+Inputs!G83</f>
        <v>30</v>
      </c>
      <c r="H83" s="105">
        <f t="shared" si="15"/>
        <v>0.33333333333333331</v>
      </c>
      <c r="I83" s="53">
        <f>+Inputs!I83</f>
        <v>320</v>
      </c>
      <c r="J83" s="53">
        <f>+Inputs!J83</f>
        <v>0</v>
      </c>
      <c r="K83" s="53">
        <f>+Inputs!M83</f>
        <v>81</v>
      </c>
      <c r="L83" s="53">
        <f t="shared" si="14"/>
        <v>20104798.882015683</v>
      </c>
      <c r="M83" s="37">
        <f t="shared" si="9"/>
        <v>49234.612015679479</v>
      </c>
      <c r="N83" s="45">
        <f t="shared" si="10"/>
        <v>2.4549103357479093E-3</v>
      </c>
      <c r="O83" s="12">
        <f t="shared" si="11"/>
        <v>2.4549103357479093E-3</v>
      </c>
      <c r="P83"/>
    </row>
    <row r="84" spans="1:16" x14ac:dyDescent="0.2">
      <c r="A84" s="3" t="str">
        <f t="shared" si="12"/>
        <v>201910</v>
      </c>
      <c r="B84" s="49">
        <f t="shared" si="13"/>
        <v>2019</v>
      </c>
      <c r="C84" s="52">
        <v>43769</v>
      </c>
      <c r="D84" s="53">
        <f>+Inputs!D84</f>
        <v>20697385.880000003</v>
      </c>
      <c r="E84" s="53">
        <f>VLOOKUP(A84,'[11]HDD CDD Summary'!$R:$T,2,FALSE)</f>
        <v>236.5</v>
      </c>
      <c r="F84" s="53">
        <f>VLOOKUP(A84,'[11]HDD CDD Summary'!$R:$T,3,FALSE)</f>
        <v>5.0999999999999996</v>
      </c>
      <c r="G84" s="53">
        <f>+Inputs!G84</f>
        <v>31</v>
      </c>
      <c r="H84" s="105">
        <f t="shared" si="15"/>
        <v>1</v>
      </c>
      <c r="I84" s="53">
        <f>+Inputs!I84</f>
        <v>352</v>
      </c>
      <c r="J84" s="53">
        <f>+Inputs!J84</f>
        <v>0</v>
      </c>
      <c r="K84" s="53">
        <f>+Inputs!M84</f>
        <v>82</v>
      </c>
      <c r="L84" s="53">
        <f t="shared" si="14"/>
        <v>21199423.272844061</v>
      </c>
      <c r="M84" s="37">
        <f t="shared" si="9"/>
        <v>502037.39284405857</v>
      </c>
      <c r="N84" s="45">
        <f t="shared" si="10"/>
        <v>2.4256077349805807E-2</v>
      </c>
      <c r="O84" s="12">
        <f t="shared" si="11"/>
        <v>2.4256077349805807E-2</v>
      </c>
      <c r="P84"/>
    </row>
    <row r="85" spans="1:16" x14ac:dyDescent="0.2">
      <c r="A85" s="3" t="str">
        <f t="shared" si="12"/>
        <v>201911</v>
      </c>
      <c r="B85" s="49">
        <f t="shared" si="13"/>
        <v>2019</v>
      </c>
      <c r="C85" s="52">
        <v>43799</v>
      </c>
      <c r="D85" s="53">
        <f>+Inputs!D85</f>
        <v>22060075.600000001</v>
      </c>
      <c r="E85" s="53">
        <f>VLOOKUP(A85,'[11]HDD CDD Summary'!$R:$T,2,FALSE)</f>
        <v>513.30000000000007</v>
      </c>
      <c r="F85" s="53">
        <f>VLOOKUP(A85,'[11]HDD CDD Summary'!$R:$T,3,FALSE)</f>
        <v>0</v>
      </c>
      <c r="G85" s="53">
        <f>+Inputs!G85</f>
        <v>30</v>
      </c>
      <c r="H85" s="105">
        <f t="shared" si="15"/>
        <v>1</v>
      </c>
      <c r="I85" s="53">
        <f>+Inputs!I85</f>
        <v>336</v>
      </c>
      <c r="J85" s="53">
        <f>+Inputs!J85</f>
        <v>0</v>
      </c>
      <c r="K85" s="53">
        <f>+Inputs!M85</f>
        <v>83</v>
      </c>
      <c r="L85" s="53">
        <f t="shared" si="14"/>
        <v>22100873.30951605</v>
      </c>
      <c r="M85" s="37">
        <f t="shared" si="9"/>
        <v>40797.709516048431</v>
      </c>
      <c r="N85" s="45">
        <f t="shared" si="10"/>
        <v>1.849391192297112E-3</v>
      </c>
      <c r="O85" s="12">
        <f t="shared" si="11"/>
        <v>1.849391192297112E-3</v>
      </c>
      <c r="P85"/>
    </row>
    <row r="86" spans="1:16" x14ac:dyDescent="0.2">
      <c r="A86" s="3" t="str">
        <f t="shared" si="12"/>
        <v>201912</v>
      </c>
      <c r="B86" s="49">
        <f t="shared" si="13"/>
        <v>2019</v>
      </c>
      <c r="C86" s="52">
        <v>43830</v>
      </c>
      <c r="D86" s="53">
        <f>+Inputs!D86</f>
        <v>22125178.859999999</v>
      </c>
      <c r="E86" s="53">
        <f>VLOOKUP(A86,'[11]HDD CDD Summary'!$R:$T,2,FALSE)</f>
        <v>582.4</v>
      </c>
      <c r="F86" s="53">
        <f>VLOOKUP(A86,'[11]HDD CDD Summary'!$R:$T,3,FALSE)</f>
        <v>0</v>
      </c>
      <c r="G86" s="53">
        <f>+Inputs!G86</f>
        <v>31</v>
      </c>
      <c r="H86" s="105">
        <f t="shared" si="15"/>
        <v>0.66666666666666663</v>
      </c>
      <c r="I86" s="53">
        <f>+Inputs!I86</f>
        <v>320</v>
      </c>
      <c r="J86" s="53">
        <f>+Inputs!J86</f>
        <v>0</v>
      </c>
      <c r="K86" s="53">
        <f>+Inputs!M86</f>
        <v>84</v>
      </c>
      <c r="L86" s="53">
        <f t="shared" si="14"/>
        <v>22936338.550888672</v>
      </c>
      <c r="M86" s="37">
        <f t="shared" si="9"/>
        <v>811159.69088867307</v>
      </c>
      <c r="N86" s="45">
        <f t="shared" si="10"/>
        <v>3.6662288518497115E-2</v>
      </c>
      <c r="O86" s="12">
        <f t="shared" si="11"/>
        <v>3.6662288518497115E-2</v>
      </c>
      <c r="P86"/>
    </row>
    <row r="87" spans="1:16" x14ac:dyDescent="0.2">
      <c r="A87" s="3" t="str">
        <f t="shared" si="12"/>
        <v>20201</v>
      </c>
      <c r="B87" s="49">
        <f t="shared" si="13"/>
        <v>2020</v>
      </c>
      <c r="C87" s="52">
        <v>43861</v>
      </c>
      <c r="D87" s="53">
        <f>+Inputs!D87</f>
        <v>23214919.18</v>
      </c>
      <c r="E87" s="53">
        <f>VLOOKUP(A87,'[11]HDD CDD Summary'!$R:$T,2,FALSE)</f>
        <v>605</v>
      </c>
      <c r="F87" s="53">
        <f>VLOOKUP(A87,'[11]HDD CDD Summary'!$R:$T,3,FALSE)</f>
        <v>0</v>
      </c>
      <c r="G87" s="53">
        <f>+Inputs!G87</f>
        <v>31</v>
      </c>
      <c r="H87" s="105">
        <f t="shared" si="15"/>
        <v>0</v>
      </c>
      <c r="I87" s="53">
        <f>+Inputs!I87</f>
        <v>352</v>
      </c>
      <c r="J87" s="53">
        <f>+Inputs!J87</f>
        <v>0</v>
      </c>
      <c r="K87" s="53">
        <f>+Inputs!M87</f>
        <v>85</v>
      </c>
      <c r="L87" s="53">
        <f t="shared" si="14"/>
        <v>23788298.976736605</v>
      </c>
      <c r="M87" s="37">
        <f t="shared" si="9"/>
        <v>573379.79673660547</v>
      </c>
      <c r="N87" s="45">
        <f t="shared" si="10"/>
        <v>2.4698763424107921E-2</v>
      </c>
      <c r="O87" s="12">
        <f t="shared" si="11"/>
        <v>2.4698763424107921E-2</v>
      </c>
      <c r="P87"/>
    </row>
    <row r="88" spans="1:16" x14ac:dyDescent="0.2">
      <c r="A88" s="3" t="str">
        <f t="shared" si="12"/>
        <v>20202</v>
      </c>
      <c r="B88" s="49">
        <f t="shared" si="13"/>
        <v>2020</v>
      </c>
      <c r="C88" s="52">
        <v>43890</v>
      </c>
      <c r="D88" s="53">
        <f>+Inputs!D88</f>
        <v>21739398</v>
      </c>
      <c r="E88" s="53">
        <f>VLOOKUP(A88,'[11]HDD CDD Summary'!$R:$T,2,FALSE)</f>
        <v>611.79999999999995</v>
      </c>
      <c r="F88" s="53">
        <f>VLOOKUP(A88,'[11]HDD CDD Summary'!$R:$T,3,FALSE)</f>
        <v>0</v>
      </c>
      <c r="G88" s="53">
        <f>+Inputs!G88</f>
        <v>29</v>
      </c>
      <c r="H88" s="105">
        <f t="shared" si="15"/>
        <v>0</v>
      </c>
      <c r="I88" s="53">
        <f>+Inputs!I88</f>
        <v>304</v>
      </c>
      <c r="J88" s="53">
        <f>+Inputs!J88</f>
        <v>0</v>
      </c>
      <c r="K88" s="53">
        <f>+Inputs!M88</f>
        <v>86</v>
      </c>
      <c r="L88" s="53">
        <f t="shared" si="14"/>
        <v>22469915.384024356</v>
      </c>
      <c r="M88" s="37">
        <f t="shared" si="9"/>
        <v>730517.38402435556</v>
      </c>
      <c r="N88" s="45">
        <f t="shared" si="10"/>
        <v>3.3603386074644546E-2</v>
      </c>
      <c r="O88" s="12">
        <f t="shared" si="11"/>
        <v>3.3603386074644546E-2</v>
      </c>
      <c r="P88"/>
    </row>
    <row r="89" spans="1:16" x14ac:dyDescent="0.2">
      <c r="A89" s="3" t="str">
        <f t="shared" si="12"/>
        <v>20203</v>
      </c>
      <c r="B89" s="49">
        <f t="shared" si="13"/>
        <v>2020</v>
      </c>
      <c r="C89" s="52">
        <v>43921</v>
      </c>
      <c r="D89" s="53">
        <f>+Inputs!D89</f>
        <v>21884530.75</v>
      </c>
      <c r="E89" s="53">
        <f>VLOOKUP(A89,'[11]HDD CDD Summary'!$R:$T,2,FALSE)</f>
        <v>458.69999999999993</v>
      </c>
      <c r="F89" s="53">
        <f>VLOOKUP(A89,'[11]HDD CDD Summary'!$R:$T,3,FALSE)</f>
        <v>0</v>
      </c>
      <c r="G89" s="53">
        <f>+Inputs!G89</f>
        <v>31</v>
      </c>
      <c r="H89" s="105">
        <f t="shared" si="15"/>
        <v>0.33333333333333331</v>
      </c>
      <c r="I89" s="53">
        <f>+Inputs!I89</f>
        <v>352</v>
      </c>
      <c r="J89" s="53">
        <v>0</v>
      </c>
      <c r="K89" s="53">
        <f>+Inputs!M89</f>
        <v>87</v>
      </c>
      <c r="L89" s="53">
        <f t="shared" si="14"/>
        <v>22792789.824922871</v>
      </c>
      <c r="M89" s="37">
        <f t="shared" si="9"/>
        <v>908259.07492287084</v>
      </c>
      <c r="N89" s="45">
        <f t="shared" si="10"/>
        <v>4.1502332643018669E-2</v>
      </c>
      <c r="O89" s="12">
        <f t="shared" si="11"/>
        <v>4.1502332643018669E-2</v>
      </c>
      <c r="P89"/>
    </row>
    <row r="90" spans="1:16" x14ac:dyDescent="0.2">
      <c r="A90" s="3" t="str">
        <f t="shared" si="12"/>
        <v>20204</v>
      </c>
      <c r="B90" s="49">
        <f t="shared" si="13"/>
        <v>2020</v>
      </c>
      <c r="C90" s="52">
        <v>43951</v>
      </c>
      <c r="D90" s="53">
        <f>+Inputs!D90</f>
        <v>18977422.57</v>
      </c>
      <c r="E90" s="53">
        <f>VLOOKUP(A90,'[11]HDD CDD Summary'!$R:$T,2,FALSE)</f>
        <v>362.2999999999999</v>
      </c>
      <c r="F90" s="53">
        <f>VLOOKUP(A90,'[11]HDD CDD Summary'!$R:$T,3,FALSE)</f>
        <v>0</v>
      </c>
      <c r="G90" s="53">
        <f>+Inputs!G90</f>
        <v>30</v>
      </c>
      <c r="H90" s="105">
        <f t="shared" si="15"/>
        <v>1</v>
      </c>
      <c r="I90" s="53">
        <f>+Inputs!I90</f>
        <v>336</v>
      </c>
      <c r="J90" s="53">
        <v>1</v>
      </c>
      <c r="K90" s="53">
        <f>+Inputs!M90</f>
        <v>88</v>
      </c>
      <c r="L90" s="53">
        <f t="shared" si="14"/>
        <v>18977422.569999982</v>
      </c>
      <c r="M90" s="37">
        <f t="shared" si="9"/>
        <v>0</v>
      </c>
      <c r="N90" s="45">
        <f t="shared" si="10"/>
        <v>0</v>
      </c>
      <c r="O90" s="12">
        <f t="shared" si="11"/>
        <v>0</v>
      </c>
      <c r="P90"/>
    </row>
    <row r="91" spans="1:16" x14ac:dyDescent="0.2">
      <c r="A91" s="3" t="str">
        <f t="shared" si="12"/>
        <v>20205</v>
      </c>
      <c r="B91" s="49">
        <f t="shared" si="13"/>
        <v>2020</v>
      </c>
      <c r="C91" s="52">
        <v>43982</v>
      </c>
      <c r="D91" s="53">
        <f>+Inputs!D91</f>
        <v>19969257.329999998</v>
      </c>
      <c r="E91" s="53">
        <f>VLOOKUP(A91,'[11]HDD CDD Summary'!$R:$T,2,FALSE)</f>
        <v>208.09999999999997</v>
      </c>
      <c r="F91" s="53">
        <f>VLOOKUP(A91,'[11]HDD CDD Summary'!$R:$T,3,FALSE)</f>
        <v>24.2</v>
      </c>
      <c r="G91" s="53">
        <f>+Inputs!G91</f>
        <v>31</v>
      </c>
      <c r="H91" s="105">
        <f t="shared" si="15"/>
        <v>1</v>
      </c>
      <c r="I91" s="53">
        <f>+Inputs!I91</f>
        <v>320</v>
      </c>
      <c r="J91" s="53">
        <v>0</v>
      </c>
      <c r="K91" s="53">
        <f>+Inputs!M91</f>
        <v>89</v>
      </c>
      <c r="L91" s="53">
        <f t="shared" si="14"/>
        <v>21252600.463535547</v>
      </c>
      <c r="M91" s="37">
        <f t="shared" si="9"/>
        <v>1283343.133535549</v>
      </c>
      <c r="N91" s="45">
        <f t="shared" si="10"/>
        <v>6.4265942009148772E-2</v>
      </c>
      <c r="O91" s="12">
        <f t="shared" si="11"/>
        <v>6.4265942009148772E-2</v>
      </c>
      <c r="P91"/>
    </row>
    <row r="92" spans="1:16" x14ac:dyDescent="0.2">
      <c r="A92" s="3" t="str">
        <f t="shared" si="12"/>
        <v>20206</v>
      </c>
      <c r="B92" s="49">
        <f t="shared" si="13"/>
        <v>2020</v>
      </c>
      <c r="C92" s="52">
        <v>44012</v>
      </c>
      <c r="D92" s="53">
        <f>+Inputs!D92</f>
        <v>21668186.52</v>
      </c>
      <c r="E92" s="53">
        <f>VLOOKUP(A92,'[11]HDD CDD Summary'!$R:$T,2,FALSE)</f>
        <v>23.799999999999997</v>
      </c>
      <c r="F92" s="53">
        <f>VLOOKUP(A92,'[11]HDD CDD Summary'!$R:$T,3,FALSE)</f>
        <v>97.700000000000017</v>
      </c>
      <c r="G92" s="53">
        <f>+Inputs!G92</f>
        <v>30</v>
      </c>
      <c r="H92" s="105">
        <f t="shared" si="15"/>
        <v>0.66666666666666663</v>
      </c>
      <c r="I92" s="53">
        <f>+Inputs!I92</f>
        <v>352</v>
      </c>
      <c r="J92" s="53">
        <f>+Inputs!J92</f>
        <v>0</v>
      </c>
      <c r="K92" s="53">
        <f>+Inputs!M92</f>
        <v>90</v>
      </c>
      <c r="L92" s="53">
        <f t="shared" si="14"/>
        <v>22102737.052197654</v>
      </c>
      <c r="M92" s="37">
        <f t="shared" si="9"/>
        <v>434550.53219765425</v>
      </c>
      <c r="N92" s="45">
        <f t="shared" si="10"/>
        <v>2.0054771625514615E-2</v>
      </c>
      <c r="O92" s="12">
        <f t="shared" si="11"/>
        <v>2.0054771625514615E-2</v>
      </c>
      <c r="P92"/>
    </row>
    <row r="93" spans="1:16" x14ac:dyDescent="0.2">
      <c r="A93" s="3" t="str">
        <f t="shared" si="12"/>
        <v>20207</v>
      </c>
      <c r="B93" s="49">
        <f t="shared" si="13"/>
        <v>2020</v>
      </c>
      <c r="C93" s="52">
        <v>44043</v>
      </c>
      <c r="D93" s="53">
        <f>+Inputs!D93</f>
        <v>25628770.52</v>
      </c>
      <c r="E93" s="53">
        <f>VLOOKUP(A93,'[11]HDD CDD Summary'!$R:$T,2,FALSE)</f>
        <v>0</v>
      </c>
      <c r="F93" s="53">
        <f>VLOOKUP(A93,'[11]HDD CDD Summary'!$R:$T,3,FALSE)</f>
        <v>215.7</v>
      </c>
      <c r="G93" s="53">
        <f>+Inputs!G93</f>
        <v>31</v>
      </c>
      <c r="H93" s="105">
        <f t="shared" si="15"/>
        <v>0</v>
      </c>
      <c r="I93" s="53">
        <f>+Inputs!I93</f>
        <v>352</v>
      </c>
      <c r="J93" s="53">
        <f>+Inputs!J93</f>
        <v>0</v>
      </c>
      <c r="K93" s="53">
        <f>+Inputs!M93</f>
        <v>91</v>
      </c>
      <c r="L93" s="53">
        <f t="shared" si="14"/>
        <v>25635547.708127487</v>
      </c>
      <c r="M93" s="37">
        <f t="shared" si="9"/>
        <v>6777.1881274878979</v>
      </c>
      <c r="N93" s="45">
        <f t="shared" si="10"/>
        <v>2.6443672443042727E-4</v>
      </c>
      <c r="O93" s="12">
        <f t="shared" si="11"/>
        <v>2.6443672443042727E-4</v>
      </c>
      <c r="P93"/>
    </row>
    <row r="94" spans="1:16" x14ac:dyDescent="0.2">
      <c r="A94" s="3" t="str">
        <f t="shared" si="12"/>
        <v>20208</v>
      </c>
      <c r="B94" s="49">
        <f t="shared" si="13"/>
        <v>2020</v>
      </c>
      <c r="C94" s="52">
        <v>44074</v>
      </c>
      <c r="D94" s="53">
        <f>+Inputs!D94</f>
        <v>23467038.809999999</v>
      </c>
      <c r="E94" s="53">
        <f>VLOOKUP(A94,'[11]HDD CDD Summary'!$R:$T,2,FALSE)</f>
        <v>0.8</v>
      </c>
      <c r="F94" s="53">
        <f>VLOOKUP(A94,'[11]HDD CDD Summary'!$R:$T,3,FALSE)</f>
        <v>126.69999999999999</v>
      </c>
      <c r="G94" s="53">
        <f>+Inputs!G94</f>
        <v>31</v>
      </c>
      <c r="H94" s="105">
        <f t="shared" si="15"/>
        <v>0</v>
      </c>
      <c r="I94" s="53">
        <f>+Inputs!I94</f>
        <v>336</v>
      </c>
      <c r="J94" s="53">
        <f>+Inputs!J94</f>
        <v>0</v>
      </c>
      <c r="K94" s="53">
        <f>+Inputs!M94</f>
        <v>92</v>
      </c>
      <c r="L94" s="53">
        <f t="shared" si="14"/>
        <v>23302372.897501089</v>
      </c>
      <c r="M94" s="37">
        <f t="shared" si="9"/>
        <v>-164665.91249890998</v>
      </c>
      <c r="N94" s="45">
        <f t="shared" si="10"/>
        <v>-7.0169020400111569E-3</v>
      </c>
      <c r="O94" s="12">
        <f t="shared" si="11"/>
        <v>7.0169020400111569E-3</v>
      </c>
      <c r="P94"/>
    </row>
    <row r="95" spans="1:16" x14ac:dyDescent="0.2">
      <c r="A95" s="3" t="str">
        <f t="shared" si="12"/>
        <v>20209</v>
      </c>
      <c r="B95" s="49">
        <f t="shared" si="13"/>
        <v>2020</v>
      </c>
      <c r="C95" s="52">
        <v>44104</v>
      </c>
      <c r="D95" s="53">
        <f>+Inputs!D95</f>
        <v>20269648.150000002</v>
      </c>
      <c r="E95" s="53">
        <f>VLOOKUP(A95,'[11]HDD CDD Summary'!$R:$T,2,FALSE)</f>
        <v>69.100000000000009</v>
      </c>
      <c r="F95" s="53">
        <f>VLOOKUP(A95,'[11]HDD CDD Summary'!$R:$T,3,FALSE)</f>
        <v>33.300000000000004</v>
      </c>
      <c r="G95" s="53">
        <f>+Inputs!G95</f>
        <v>30</v>
      </c>
      <c r="H95" s="105">
        <f t="shared" si="15"/>
        <v>0.33333333333333331</v>
      </c>
      <c r="I95" s="53">
        <f>+Inputs!I95</f>
        <v>336</v>
      </c>
      <c r="J95" s="53">
        <f>+Inputs!J95</f>
        <v>0</v>
      </c>
      <c r="K95" s="53">
        <f>+Inputs!M95</f>
        <v>93</v>
      </c>
      <c r="L95" s="53">
        <f t="shared" si="14"/>
        <v>20835273.536072798</v>
      </c>
      <c r="M95" s="37">
        <f t="shared" si="9"/>
        <v>565625.38607279584</v>
      </c>
      <c r="N95" s="45">
        <f t="shared" si="10"/>
        <v>2.7905042154014684E-2</v>
      </c>
      <c r="O95" s="12">
        <f t="shared" si="11"/>
        <v>2.7905042154014684E-2</v>
      </c>
      <c r="P95"/>
    </row>
    <row r="96" spans="1:16" x14ac:dyDescent="0.2">
      <c r="A96" s="3" t="str">
        <f t="shared" si="12"/>
        <v>202010</v>
      </c>
      <c r="B96" s="49">
        <f t="shared" si="13"/>
        <v>2020</v>
      </c>
      <c r="C96" s="52">
        <v>44135</v>
      </c>
      <c r="D96" s="53">
        <f>+Inputs!D96</f>
        <v>21294106.91</v>
      </c>
      <c r="E96" s="53">
        <f>VLOOKUP(A96,'[11]HDD CDD Summary'!$R:$T,2,FALSE)</f>
        <v>270.3</v>
      </c>
      <c r="F96" s="53">
        <f>VLOOKUP(A96,'[11]HDD CDD Summary'!$R:$T,3,FALSE)</f>
        <v>0</v>
      </c>
      <c r="G96" s="53">
        <f>+Inputs!G96</f>
        <v>31</v>
      </c>
      <c r="H96" s="105">
        <f t="shared" si="15"/>
        <v>1</v>
      </c>
      <c r="I96" s="53">
        <f>+Inputs!I96</f>
        <v>336</v>
      </c>
      <c r="J96" s="53">
        <f>+Inputs!J96</f>
        <v>0</v>
      </c>
      <c r="K96" s="53">
        <f>+Inputs!M96</f>
        <v>94</v>
      </c>
      <c r="L96" s="53">
        <f t="shared" si="14"/>
        <v>21275519.615530103</v>
      </c>
      <c r="M96" s="37">
        <f t="shared" si="9"/>
        <v>-18587.294469896704</v>
      </c>
      <c r="N96" s="45">
        <f t="shared" si="10"/>
        <v>-8.7288443457414315E-4</v>
      </c>
      <c r="O96" s="12">
        <f t="shared" si="11"/>
        <v>8.7288443457414315E-4</v>
      </c>
      <c r="P96"/>
    </row>
    <row r="97" spans="1:16" x14ac:dyDescent="0.2">
      <c r="A97" s="3" t="str">
        <f t="shared" si="12"/>
        <v>202011</v>
      </c>
      <c r="B97" s="49">
        <f t="shared" si="13"/>
        <v>2020</v>
      </c>
      <c r="C97" s="52">
        <v>44165</v>
      </c>
      <c r="D97" s="53">
        <f>+Inputs!D97</f>
        <v>21744994.359999999</v>
      </c>
      <c r="E97" s="53">
        <f>VLOOKUP(A97,'[11]HDD CDD Summary'!$R:$T,2,FALSE)</f>
        <v>334.79999999999995</v>
      </c>
      <c r="F97" s="53">
        <f>VLOOKUP(A97,'[11]HDD CDD Summary'!$R:$T,3,FALSE)</f>
        <v>0</v>
      </c>
      <c r="G97" s="53">
        <f>+Inputs!G97</f>
        <v>30</v>
      </c>
      <c r="H97" s="105">
        <f t="shared" si="15"/>
        <v>1</v>
      </c>
      <c r="I97" s="53">
        <f>+Inputs!I97</f>
        <v>336</v>
      </c>
      <c r="J97" s="53">
        <f>+Inputs!J97</f>
        <v>0</v>
      </c>
      <c r="K97" s="53">
        <f>+Inputs!M97</f>
        <v>95</v>
      </c>
      <c r="L97" s="53">
        <f t="shared" si="14"/>
        <v>21244982.524220359</v>
      </c>
      <c r="M97" s="37">
        <f t="shared" si="9"/>
        <v>-500011.83577964082</v>
      </c>
      <c r="N97" s="45">
        <f t="shared" si="10"/>
        <v>-2.2994341939191969E-2</v>
      </c>
      <c r="O97" s="12">
        <f t="shared" si="11"/>
        <v>2.2994341939191969E-2</v>
      </c>
      <c r="P97"/>
    </row>
    <row r="98" spans="1:16" x14ac:dyDescent="0.2">
      <c r="A98" s="3" t="str">
        <f t="shared" si="12"/>
        <v>202012</v>
      </c>
      <c r="B98" s="49">
        <f t="shared" si="13"/>
        <v>2020</v>
      </c>
      <c r="C98" s="52">
        <v>44196</v>
      </c>
      <c r="D98" s="53">
        <f>+Inputs!D98</f>
        <v>23632657.099999998</v>
      </c>
      <c r="E98" s="53">
        <f>VLOOKUP(A98,'[11]HDD CDD Summary'!$R:$T,2,FALSE)</f>
        <v>567.29999999999995</v>
      </c>
      <c r="F98" s="53">
        <f>VLOOKUP(A98,'[11]HDD CDD Summary'!$R:$T,3,FALSE)</f>
        <v>0</v>
      </c>
      <c r="G98" s="53">
        <f>+Inputs!G98</f>
        <v>31</v>
      </c>
      <c r="H98" s="105">
        <f t="shared" si="15"/>
        <v>0.66666666666666663</v>
      </c>
      <c r="I98" s="53">
        <f>+Inputs!I98</f>
        <v>336</v>
      </c>
      <c r="J98" s="53">
        <f>+Inputs!J98</f>
        <v>0</v>
      </c>
      <c r="K98" s="53">
        <f>+Inputs!M98</f>
        <v>96</v>
      </c>
      <c r="L98" s="53">
        <f t="shared" si="14"/>
        <v>23207487.510434296</v>
      </c>
      <c r="M98" s="37">
        <f t="shared" si="9"/>
        <v>-425169.58956570178</v>
      </c>
      <c r="N98" s="45">
        <f t="shared" si="10"/>
        <v>-1.7990765395809082E-2</v>
      </c>
      <c r="O98" s="12">
        <f t="shared" si="11"/>
        <v>1.7990765395809082E-2</v>
      </c>
      <c r="P98"/>
    </row>
    <row r="99" spans="1:16" x14ac:dyDescent="0.2">
      <c r="A99" s="3" t="str">
        <f t="shared" si="12"/>
        <v>20211</v>
      </c>
      <c r="B99" s="49">
        <f t="shared" si="13"/>
        <v>2021</v>
      </c>
      <c r="C99" s="52">
        <v>44227</v>
      </c>
      <c r="D99" s="53">
        <f>+Inputs!D99</f>
        <v>23541928.949999999</v>
      </c>
      <c r="E99" s="53">
        <f>VLOOKUP(A99,'[11]HDD CDD Summary'!$R:$T,2,FALSE)</f>
        <v>642.64999999999986</v>
      </c>
      <c r="F99" s="53">
        <f>VLOOKUP(A99,'[11]HDD CDD Summary'!$R:$T,3,FALSE)</f>
        <v>0</v>
      </c>
      <c r="G99" s="53">
        <f>+Inputs!G99</f>
        <v>31</v>
      </c>
      <c r="H99" s="105">
        <f t="shared" si="15"/>
        <v>0</v>
      </c>
      <c r="I99" s="53">
        <f>+Inputs!I99</f>
        <v>320</v>
      </c>
      <c r="J99" s="53">
        <f>+Inputs!J99</f>
        <v>0</v>
      </c>
      <c r="K99" s="53">
        <f>+Inputs!M99</f>
        <v>97</v>
      </c>
      <c r="L99" s="53">
        <f t="shared" si="14"/>
        <v>23834143.363285717</v>
      </c>
      <c r="M99" s="37">
        <f t="shared" ref="M99:M122" si="16">L99-D99</f>
        <v>292214.41328571737</v>
      </c>
      <c r="N99" s="45">
        <f t="shared" ref="N99:N122" si="17">M99/D99</f>
        <v>1.2412509353262548E-2</v>
      </c>
      <c r="O99" s="12">
        <f t="shared" si="11"/>
        <v>1.2412509353262548E-2</v>
      </c>
      <c r="P99"/>
    </row>
    <row r="100" spans="1:16" x14ac:dyDescent="0.2">
      <c r="A100" s="3" t="str">
        <f t="shared" si="12"/>
        <v>20212</v>
      </c>
      <c r="B100" s="49">
        <f t="shared" si="13"/>
        <v>2021</v>
      </c>
      <c r="C100" s="52">
        <v>44255</v>
      </c>
      <c r="D100" s="53">
        <f>+Inputs!D100</f>
        <v>22305481.220000003</v>
      </c>
      <c r="E100" s="53">
        <f>VLOOKUP(A100,'[11]HDD CDD Summary'!$R:$T,2,FALSE)</f>
        <v>653</v>
      </c>
      <c r="F100" s="53">
        <f>VLOOKUP(A100,'[11]HDD CDD Summary'!$R:$T,3,FALSE)</f>
        <v>0</v>
      </c>
      <c r="G100" s="53">
        <f>+Inputs!G100</f>
        <v>28</v>
      </c>
      <c r="H100" s="105">
        <f t="shared" si="15"/>
        <v>0</v>
      </c>
      <c r="I100" s="53">
        <f>+Inputs!I100</f>
        <v>304</v>
      </c>
      <c r="J100" s="53">
        <f>+Inputs!J100</f>
        <v>0</v>
      </c>
      <c r="K100" s="53">
        <f>+Inputs!M100</f>
        <v>98</v>
      </c>
      <c r="L100" s="53">
        <f t="shared" si="14"/>
        <v>22470429.554019649</v>
      </c>
      <c r="M100" s="37">
        <f t="shared" si="16"/>
        <v>164948.33401964605</v>
      </c>
      <c r="N100" s="45">
        <f t="shared" si="17"/>
        <v>7.3949686354108628E-3</v>
      </c>
      <c r="O100" s="12">
        <f t="shared" si="11"/>
        <v>7.3949686354108628E-3</v>
      </c>
      <c r="P100"/>
    </row>
    <row r="101" spans="1:16" x14ac:dyDescent="0.2">
      <c r="A101" s="3" t="str">
        <f t="shared" si="12"/>
        <v>20213</v>
      </c>
      <c r="B101" s="49">
        <f t="shared" si="13"/>
        <v>2021</v>
      </c>
      <c r="C101" s="52">
        <v>44286</v>
      </c>
      <c r="D101" s="53">
        <f>+Inputs!D101</f>
        <v>23069807.16</v>
      </c>
      <c r="E101" s="53">
        <f>VLOOKUP(A101,'[11]HDD CDD Summary'!$R:$T,2,FALSE)</f>
        <v>460.70000000000005</v>
      </c>
      <c r="F101" s="53">
        <f>VLOOKUP(A101,'[11]HDD CDD Summary'!$R:$T,3,FALSE)</f>
        <v>0</v>
      </c>
      <c r="G101" s="53">
        <f>+Inputs!G101</f>
        <v>31</v>
      </c>
      <c r="H101" s="105">
        <f t="shared" si="15"/>
        <v>0.33333333333333331</v>
      </c>
      <c r="I101" s="53">
        <f>+Inputs!I101</f>
        <v>368</v>
      </c>
      <c r="J101" s="53">
        <f>+Inputs!J101</f>
        <v>0</v>
      </c>
      <c r="K101" s="53">
        <f>+Inputs!M101</f>
        <v>99</v>
      </c>
      <c r="L101" s="53">
        <f t="shared" si="14"/>
        <v>23163329.945187006</v>
      </c>
      <c r="M101" s="37">
        <f t="shared" si="16"/>
        <v>93522.785187005997</v>
      </c>
      <c r="N101" s="45">
        <f t="shared" si="17"/>
        <v>4.0539040720358578E-3</v>
      </c>
      <c r="O101" s="12">
        <f t="shared" si="11"/>
        <v>4.0539040720358578E-3</v>
      </c>
      <c r="P101"/>
    </row>
    <row r="102" spans="1:16" x14ac:dyDescent="0.2">
      <c r="A102" s="3" t="str">
        <f t="shared" si="12"/>
        <v>20214</v>
      </c>
      <c r="B102" s="49">
        <f t="shared" si="13"/>
        <v>2021</v>
      </c>
      <c r="C102" s="52">
        <v>44316</v>
      </c>
      <c r="D102" s="53">
        <f>+Inputs!D102</f>
        <v>20252923.879999999</v>
      </c>
      <c r="E102" s="53">
        <f>VLOOKUP(A102,'[11]HDD CDD Summary'!$R:$T,2,FALSE)</f>
        <v>302.39999999999998</v>
      </c>
      <c r="F102" s="53">
        <f>VLOOKUP(A102,'[11]HDD CDD Summary'!$R:$T,3,FALSE)</f>
        <v>0</v>
      </c>
      <c r="G102" s="53">
        <f>+Inputs!G102</f>
        <v>30</v>
      </c>
      <c r="H102" s="105">
        <f t="shared" si="15"/>
        <v>1</v>
      </c>
      <c r="I102" s="53">
        <f>+Inputs!I102</f>
        <v>336</v>
      </c>
      <c r="J102" s="53">
        <v>0</v>
      </c>
      <c r="K102" s="53">
        <f>+Inputs!M102</f>
        <v>100</v>
      </c>
      <c r="L102" s="53">
        <f t="shared" si="14"/>
        <v>21132334.69532726</v>
      </c>
      <c r="M102" s="37">
        <f t="shared" si="16"/>
        <v>879410.81532726064</v>
      </c>
      <c r="N102" s="45">
        <f t="shared" si="17"/>
        <v>4.3421425002030903E-2</v>
      </c>
      <c r="O102" s="12">
        <f t="shared" si="11"/>
        <v>4.3421425002030903E-2</v>
      </c>
      <c r="P102"/>
    </row>
    <row r="103" spans="1:16" x14ac:dyDescent="0.2">
      <c r="A103" s="3" t="str">
        <f t="shared" si="12"/>
        <v>20215</v>
      </c>
      <c r="B103" s="49">
        <f t="shared" si="13"/>
        <v>2021</v>
      </c>
      <c r="C103" s="52">
        <v>44347</v>
      </c>
      <c r="D103" s="53">
        <f>+Inputs!D103</f>
        <v>20759754.799999997</v>
      </c>
      <c r="E103" s="53">
        <f>VLOOKUP(A103,'[11]HDD CDD Summary'!$R:$T,2,FALSE)</f>
        <v>164.2</v>
      </c>
      <c r="F103" s="53">
        <f>VLOOKUP(A103,'[11]HDD CDD Summary'!$R:$T,3,FALSE)</f>
        <v>27.9</v>
      </c>
      <c r="G103" s="53">
        <f>+Inputs!G103</f>
        <v>31</v>
      </c>
      <c r="H103" s="105">
        <f t="shared" si="15"/>
        <v>1</v>
      </c>
      <c r="I103" s="53">
        <f>+Inputs!I103</f>
        <v>320</v>
      </c>
      <c r="J103" s="53">
        <f>+Inputs!J103</f>
        <v>0</v>
      </c>
      <c r="K103" s="53">
        <f>+Inputs!M103</f>
        <v>101</v>
      </c>
      <c r="L103" s="53">
        <f t="shared" si="14"/>
        <v>21269500.465380363</v>
      </c>
      <c r="M103" s="37">
        <f t="shared" si="16"/>
        <v>509745.66538036615</v>
      </c>
      <c r="N103" s="45">
        <f t="shared" si="17"/>
        <v>2.4554512820178696E-2</v>
      </c>
      <c r="O103" s="12">
        <f t="shared" si="11"/>
        <v>2.4554512820178696E-2</v>
      </c>
      <c r="P103"/>
    </row>
    <row r="104" spans="1:16" x14ac:dyDescent="0.2">
      <c r="A104" s="3" t="str">
        <f t="shared" si="12"/>
        <v>20216</v>
      </c>
      <c r="B104" s="49">
        <f t="shared" si="13"/>
        <v>2021</v>
      </c>
      <c r="C104" s="52">
        <v>44377</v>
      </c>
      <c r="D104" s="53">
        <f>+Inputs!D104</f>
        <v>22743690.300000001</v>
      </c>
      <c r="E104" s="53">
        <f>VLOOKUP(A104,'[11]HDD CDD Summary'!$R:$T,2,FALSE)</f>
        <v>7.0000000000000009</v>
      </c>
      <c r="F104" s="53">
        <f>VLOOKUP(A104,'[11]HDD CDD Summary'!$R:$T,3,FALSE)</f>
        <v>121.99999999999999</v>
      </c>
      <c r="G104" s="53">
        <f>+Inputs!G104</f>
        <v>30</v>
      </c>
      <c r="H104" s="105">
        <f t="shared" si="15"/>
        <v>0.66666666666666663</v>
      </c>
      <c r="I104" s="53">
        <f>+Inputs!I104</f>
        <v>352</v>
      </c>
      <c r="J104" s="53">
        <f>+Inputs!J104</f>
        <v>0</v>
      </c>
      <c r="K104" s="53">
        <f>+Inputs!M104</f>
        <v>102</v>
      </c>
      <c r="L104" s="53">
        <f t="shared" si="14"/>
        <v>22780730.772542279</v>
      </c>
      <c r="M104" s="37">
        <f t="shared" si="16"/>
        <v>37040.472542278469</v>
      </c>
      <c r="N104" s="45">
        <f t="shared" si="17"/>
        <v>1.6286043317376014E-3</v>
      </c>
      <c r="O104" s="12">
        <f t="shared" si="11"/>
        <v>1.6286043317376014E-3</v>
      </c>
      <c r="P104"/>
    </row>
    <row r="105" spans="1:16" x14ac:dyDescent="0.2">
      <c r="A105" s="3" t="str">
        <f t="shared" si="12"/>
        <v>20217</v>
      </c>
      <c r="B105" s="49">
        <f t="shared" si="13"/>
        <v>2021</v>
      </c>
      <c r="C105" s="52">
        <v>44408</v>
      </c>
      <c r="D105" s="53">
        <f>+Inputs!D105</f>
        <v>23381044.989999998</v>
      </c>
      <c r="E105" s="53">
        <f>VLOOKUP(A105,'[11]HDD CDD Summary'!$R:$T,2,FALSE)</f>
        <v>4.4000000000000004</v>
      </c>
      <c r="F105" s="53">
        <f>VLOOKUP(A105,'[11]HDD CDD Summary'!$R:$T,3,FALSE)</f>
        <v>105.75000000000001</v>
      </c>
      <c r="G105" s="53">
        <f>+Inputs!G105</f>
        <v>31</v>
      </c>
      <c r="H105" s="105">
        <f t="shared" si="15"/>
        <v>0</v>
      </c>
      <c r="I105" s="53">
        <f>+Inputs!I105</f>
        <v>336</v>
      </c>
      <c r="J105" s="53">
        <f>+Inputs!J105</f>
        <v>0</v>
      </c>
      <c r="K105" s="53">
        <f>+Inputs!M105</f>
        <v>103</v>
      </c>
      <c r="L105" s="53">
        <f t="shared" si="14"/>
        <v>22977641.308521472</v>
      </c>
      <c r="M105" s="37">
        <f t="shared" si="16"/>
        <v>-403403.68147852644</v>
      </c>
      <c r="N105" s="45">
        <f t="shared" si="17"/>
        <v>-1.7253449606339708E-2</v>
      </c>
      <c r="O105" s="12">
        <f t="shared" si="11"/>
        <v>1.7253449606339708E-2</v>
      </c>
      <c r="P105"/>
    </row>
    <row r="106" spans="1:16" x14ac:dyDescent="0.2">
      <c r="A106" s="3" t="str">
        <f t="shared" si="12"/>
        <v>20218</v>
      </c>
      <c r="B106" s="49">
        <f t="shared" si="13"/>
        <v>2021</v>
      </c>
      <c r="C106" s="52">
        <v>44439</v>
      </c>
      <c r="D106" s="53">
        <f>+Inputs!D106</f>
        <v>25116099.290000003</v>
      </c>
      <c r="E106" s="53">
        <f>VLOOKUP(A106,'[11]HDD CDD Summary'!$R:$T,2,FALSE)</f>
        <v>0.85</v>
      </c>
      <c r="F106" s="53">
        <f>VLOOKUP(A106,'[11]HDD CDD Summary'!$R:$T,3,FALSE)</f>
        <v>179</v>
      </c>
      <c r="G106" s="53">
        <f>+Inputs!G106</f>
        <v>31</v>
      </c>
      <c r="H106" s="105">
        <f t="shared" si="15"/>
        <v>0</v>
      </c>
      <c r="I106" s="53">
        <f>+Inputs!I106</f>
        <v>352</v>
      </c>
      <c r="J106" s="53">
        <f>+Inputs!J106</f>
        <v>0</v>
      </c>
      <c r="K106" s="53">
        <f>+Inputs!M106</f>
        <v>104</v>
      </c>
      <c r="L106" s="53">
        <f t="shared" si="14"/>
        <v>24940083.086801443</v>
      </c>
      <c r="M106" s="37">
        <f t="shared" si="16"/>
        <v>-176016.20319855958</v>
      </c>
      <c r="N106" s="45">
        <f t="shared" si="17"/>
        <v>-7.0081026980427881E-3</v>
      </c>
      <c r="O106" s="12">
        <f t="shared" si="11"/>
        <v>7.0081026980427881E-3</v>
      </c>
      <c r="P106"/>
    </row>
    <row r="107" spans="1:16" x14ac:dyDescent="0.2">
      <c r="A107" s="3" t="str">
        <f t="shared" si="12"/>
        <v>20219</v>
      </c>
      <c r="B107" s="49">
        <f t="shared" si="13"/>
        <v>2021</v>
      </c>
      <c r="C107" s="52">
        <v>44469</v>
      </c>
      <c r="D107" s="53">
        <f>+Inputs!D107</f>
        <v>20640267.599999998</v>
      </c>
      <c r="E107" s="53">
        <f>VLOOKUP(A107,'[11]HDD CDD Summary'!$R:$T,2,FALSE)</f>
        <v>35.6</v>
      </c>
      <c r="F107" s="53">
        <f>VLOOKUP(A107,'[11]HDD CDD Summary'!$R:$T,3,FALSE)</f>
        <v>24.900000000000002</v>
      </c>
      <c r="G107" s="53">
        <f>+Inputs!G107</f>
        <v>30</v>
      </c>
      <c r="H107" s="105">
        <f t="shared" si="15"/>
        <v>0.33333333333333331</v>
      </c>
      <c r="I107" s="53">
        <f>+Inputs!I107</f>
        <v>336</v>
      </c>
      <c r="J107" s="53">
        <f>+Inputs!J107</f>
        <v>0</v>
      </c>
      <c r="K107" s="53">
        <f>+Inputs!M107</f>
        <v>105</v>
      </c>
      <c r="L107" s="53">
        <f t="shared" si="14"/>
        <v>20616830.372326143</v>
      </c>
      <c r="M107" s="37">
        <f t="shared" si="16"/>
        <v>-23437.227673854679</v>
      </c>
      <c r="N107" s="45">
        <f t="shared" si="17"/>
        <v>-1.1355098745839266E-3</v>
      </c>
      <c r="O107" s="12">
        <f t="shared" si="11"/>
        <v>1.1355098745839266E-3</v>
      </c>
      <c r="P107"/>
    </row>
    <row r="108" spans="1:16" x14ac:dyDescent="0.2">
      <c r="A108" s="3" t="str">
        <f t="shared" si="12"/>
        <v>202110</v>
      </c>
      <c r="B108" s="49">
        <f t="shared" si="13"/>
        <v>2021</v>
      </c>
      <c r="C108" s="52">
        <v>44500</v>
      </c>
      <c r="D108" s="53">
        <f>+Inputs!D108</f>
        <v>21195541.040000003</v>
      </c>
      <c r="E108" s="53">
        <f>VLOOKUP(A108,'[11]HDD CDD Summary'!$R:$T,2,FALSE)</f>
        <v>145.19999999999999</v>
      </c>
      <c r="F108" s="53">
        <f>VLOOKUP(A108,'[11]HDD CDD Summary'!$R:$T,3,FALSE)</f>
        <v>5.6000000000000005</v>
      </c>
      <c r="G108" s="53">
        <f>+Inputs!G108</f>
        <v>31</v>
      </c>
      <c r="H108" s="105">
        <f t="shared" si="15"/>
        <v>1</v>
      </c>
      <c r="I108" s="53">
        <f>+Inputs!I108</f>
        <v>320</v>
      </c>
      <c r="J108" s="53">
        <f>+Inputs!J108</f>
        <v>0</v>
      </c>
      <c r="K108" s="53">
        <f>+Inputs!M108</f>
        <v>106</v>
      </c>
      <c r="L108" s="53">
        <f t="shared" si="14"/>
        <v>20689601.539247237</v>
      </c>
      <c r="M108" s="37">
        <f t="shared" si="16"/>
        <v>-505939.50075276569</v>
      </c>
      <c r="N108" s="45">
        <f t="shared" si="17"/>
        <v>-2.3870091346003482E-2</v>
      </c>
      <c r="O108" s="12">
        <f t="shared" si="11"/>
        <v>2.3870091346003482E-2</v>
      </c>
      <c r="P108"/>
    </row>
    <row r="109" spans="1:16" x14ac:dyDescent="0.2">
      <c r="A109" s="3" t="str">
        <f t="shared" si="12"/>
        <v>202111</v>
      </c>
      <c r="B109" s="49">
        <f t="shared" si="13"/>
        <v>2021</v>
      </c>
      <c r="C109" s="52">
        <v>44530</v>
      </c>
      <c r="D109" s="53">
        <f>+Inputs!D109</f>
        <v>22402599.130000003</v>
      </c>
      <c r="E109" s="53">
        <f>VLOOKUP(A109,'[11]HDD CDD Summary'!$R:$T,2,FALSE)</f>
        <v>413.7</v>
      </c>
      <c r="F109" s="53">
        <f>VLOOKUP(A109,'[11]HDD CDD Summary'!$R:$T,3,FALSE)</f>
        <v>0</v>
      </c>
      <c r="G109" s="53">
        <f>+Inputs!G109</f>
        <v>30</v>
      </c>
      <c r="H109" s="105">
        <f t="shared" si="15"/>
        <v>1</v>
      </c>
      <c r="I109" s="53">
        <f>+Inputs!I109</f>
        <v>352</v>
      </c>
      <c r="J109" s="53">
        <f>+Inputs!J109</f>
        <v>0</v>
      </c>
      <c r="K109" s="53">
        <f>+Inputs!M109</f>
        <v>107</v>
      </c>
      <c r="L109" s="53">
        <f t="shared" si="14"/>
        <v>22062492.250288825</v>
      </c>
      <c r="M109" s="37">
        <f t="shared" si="16"/>
        <v>-340106.8797111772</v>
      </c>
      <c r="N109" s="45">
        <f t="shared" si="17"/>
        <v>-1.5181581286062907E-2</v>
      </c>
      <c r="O109" s="12">
        <f t="shared" si="11"/>
        <v>1.5181581286062907E-2</v>
      </c>
      <c r="P109"/>
    </row>
    <row r="110" spans="1:16" x14ac:dyDescent="0.2">
      <c r="A110" s="3" t="str">
        <f t="shared" si="12"/>
        <v>202112</v>
      </c>
      <c r="B110" s="49">
        <f t="shared" si="13"/>
        <v>2021</v>
      </c>
      <c r="C110" s="52">
        <v>44561</v>
      </c>
      <c r="D110" s="53">
        <f>+Inputs!D110</f>
        <v>23318783.640000001</v>
      </c>
      <c r="E110" s="53">
        <f>VLOOKUP(A110,'[11]HDD CDD Summary'!$R:$T,2,FALSE)</f>
        <v>500.6</v>
      </c>
      <c r="F110" s="53">
        <f>VLOOKUP(A110,'[11]HDD CDD Summary'!$R:$T,3,FALSE)</f>
        <v>0</v>
      </c>
      <c r="G110" s="53">
        <f>+Inputs!G110</f>
        <v>31</v>
      </c>
      <c r="H110" s="105">
        <f t="shared" si="15"/>
        <v>0.66666666666666663</v>
      </c>
      <c r="I110" s="53">
        <f>+Inputs!I110</f>
        <v>336</v>
      </c>
      <c r="J110" s="53">
        <f>+Inputs!J110</f>
        <v>0</v>
      </c>
      <c r="K110" s="53">
        <f>+Inputs!M110</f>
        <v>108</v>
      </c>
      <c r="L110" s="53">
        <f t="shared" si="14"/>
        <v>23001417.296385992</v>
      </c>
      <c r="M110" s="37">
        <f t="shared" si="16"/>
        <v>-317366.34361400828</v>
      </c>
      <c r="N110" s="45">
        <f t="shared" si="17"/>
        <v>-1.3609901293033666E-2</v>
      </c>
      <c r="O110" s="12">
        <f t="shared" si="11"/>
        <v>1.3609901293033666E-2</v>
      </c>
      <c r="P110"/>
    </row>
    <row r="111" spans="1:16" x14ac:dyDescent="0.2">
      <c r="A111" s="3" t="str">
        <f t="shared" si="12"/>
        <v>20221</v>
      </c>
      <c r="B111" s="49">
        <f t="shared" si="13"/>
        <v>2022</v>
      </c>
      <c r="C111" s="52">
        <v>44592</v>
      </c>
      <c r="D111" s="53">
        <f>+Inputs!D111</f>
        <v>25489220.849999998</v>
      </c>
      <c r="E111" s="53">
        <f>VLOOKUP(A111,'[11]HDD CDD Summary'!$R:$T,2,FALSE)</f>
        <v>809.35</v>
      </c>
      <c r="F111" s="53">
        <f>VLOOKUP(A111,'[11]HDD CDD Summary'!$R:$T,3,FALSE)</f>
        <v>0</v>
      </c>
      <c r="G111" s="53">
        <f>+Inputs!G111</f>
        <v>31</v>
      </c>
      <c r="H111" s="105">
        <f t="shared" si="15"/>
        <v>0</v>
      </c>
      <c r="I111" s="53">
        <f>+Inputs!I111</f>
        <v>320</v>
      </c>
      <c r="J111" s="53">
        <f>+Inputs!J111</f>
        <v>0</v>
      </c>
      <c r="K111" s="53">
        <f>+Inputs!M111</f>
        <v>109</v>
      </c>
      <c r="L111" s="53">
        <f t="shared" si="14"/>
        <v>24984675.307816464</v>
      </c>
      <c r="M111" s="37">
        <f t="shared" si="16"/>
        <v>-504545.54218353331</v>
      </c>
      <c r="N111" s="45">
        <f t="shared" si="17"/>
        <v>-1.9794467047568987E-2</v>
      </c>
      <c r="O111" s="12">
        <f t="shared" si="11"/>
        <v>1.9794467047568987E-2</v>
      </c>
      <c r="P111"/>
    </row>
    <row r="112" spans="1:16" x14ac:dyDescent="0.2">
      <c r="A112" s="3" t="str">
        <f t="shared" si="12"/>
        <v>20222</v>
      </c>
      <c r="B112" s="49">
        <f t="shared" si="13"/>
        <v>2022</v>
      </c>
      <c r="C112" s="52">
        <v>44620</v>
      </c>
      <c r="D112" s="53">
        <f>+Inputs!D112</f>
        <v>23005811.43</v>
      </c>
      <c r="E112" s="53">
        <f>VLOOKUP(A112,'[11]HDD CDD Summary'!$R:$T,2,FALSE)</f>
        <v>626.54999999999995</v>
      </c>
      <c r="F112" s="53">
        <f>VLOOKUP(A112,'[11]HDD CDD Summary'!$R:$T,3,FALSE)</f>
        <v>0</v>
      </c>
      <c r="G112" s="53">
        <f>+Inputs!G112</f>
        <v>28</v>
      </c>
      <c r="H112" s="105">
        <f t="shared" si="15"/>
        <v>0</v>
      </c>
      <c r="I112" s="53">
        <f>+Inputs!I112</f>
        <v>304</v>
      </c>
      <c r="J112" s="53">
        <f>+Inputs!J112</f>
        <v>0</v>
      </c>
      <c r="K112" s="53">
        <f>+Inputs!M112</f>
        <v>110</v>
      </c>
      <c r="L112" s="53">
        <f t="shared" si="14"/>
        <v>22498306.370317563</v>
      </c>
      <c r="M112" s="37">
        <f t="shared" si="16"/>
        <v>-507505.05968243629</v>
      </c>
      <c r="N112" s="45">
        <f t="shared" si="17"/>
        <v>-2.2059863492606063E-2</v>
      </c>
      <c r="O112" s="12">
        <f t="shared" si="11"/>
        <v>2.2059863492606063E-2</v>
      </c>
      <c r="P112"/>
    </row>
    <row r="113" spans="1:16" x14ac:dyDescent="0.2">
      <c r="A113" s="3" t="str">
        <f t="shared" si="12"/>
        <v>20223</v>
      </c>
      <c r="B113" s="49">
        <f t="shared" si="13"/>
        <v>2022</v>
      </c>
      <c r="C113" s="52">
        <v>44651</v>
      </c>
      <c r="D113" s="53">
        <f>+Inputs!D113</f>
        <v>24103482.41</v>
      </c>
      <c r="E113" s="53">
        <f>VLOOKUP(A113,'[11]HDD CDD Summary'!$R:$T,2,FALSE)</f>
        <v>523.90000000000009</v>
      </c>
      <c r="F113" s="53">
        <f>VLOOKUP(A113,'[11]HDD CDD Summary'!$R:$T,3,FALSE)</f>
        <v>0</v>
      </c>
      <c r="G113" s="53">
        <f>+Inputs!G113</f>
        <v>31</v>
      </c>
      <c r="H113" s="105">
        <f t="shared" si="15"/>
        <v>0.33333333333333331</v>
      </c>
      <c r="I113" s="53">
        <f>+Inputs!I113</f>
        <v>368</v>
      </c>
      <c r="J113" s="53">
        <f>+Inputs!J113</f>
        <v>0</v>
      </c>
      <c r="K113" s="53">
        <f>+Inputs!M113</f>
        <v>111</v>
      </c>
      <c r="L113" s="53">
        <f t="shared" si="14"/>
        <v>23712283.811684627</v>
      </c>
      <c r="M113" s="37">
        <f t="shared" si="16"/>
        <v>-391198.59831537306</v>
      </c>
      <c r="N113" s="45">
        <f t="shared" si="17"/>
        <v>-1.6229961781500647E-2</v>
      </c>
      <c r="O113" s="12">
        <f t="shared" si="11"/>
        <v>1.6229961781500647E-2</v>
      </c>
      <c r="P113"/>
    </row>
    <row r="114" spans="1:16" x14ac:dyDescent="0.2">
      <c r="A114" s="3" t="str">
        <f t="shared" si="12"/>
        <v>20224</v>
      </c>
      <c r="B114" s="49">
        <f t="shared" si="13"/>
        <v>2022</v>
      </c>
      <c r="C114" s="52">
        <v>44681</v>
      </c>
      <c r="D114" s="53">
        <f>+Inputs!D114</f>
        <v>21054165.982828289</v>
      </c>
      <c r="E114" s="53">
        <f>VLOOKUP(A114,'[11]HDD CDD Summary'!$R:$T,2,FALSE)</f>
        <v>339.94999999999993</v>
      </c>
      <c r="F114" s="53">
        <f>VLOOKUP(A114,'[11]HDD CDD Summary'!$R:$T,3,FALSE)</f>
        <v>0</v>
      </c>
      <c r="G114" s="53">
        <f>+Inputs!G114</f>
        <v>30</v>
      </c>
      <c r="H114" s="105">
        <f t="shared" si="15"/>
        <v>1</v>
      </c>
      <c r="I114" s="53">
        <f>+Inputs!I114</f>
        <v>320</v>
      </c>
      <c r="J114" s="53">
        <f>+Inputs!J114</f>
        <v>0</v>
      </c>
      <c r="K114" s="53">
        <f>+Inputs!M114</f>
        <v>112</v>
      </c>
      <c r="L114" s="53">
        <f t="shared" si="14"/>
        <v>21354899.833882742</v>
      </c>
      <c r="M114" s="37">
        <f t="shared" si="16"/>
        <v>300733.85105445236</v>
      </c>
      <c r="N114" s="45">
        <f t="shared" si="17"/>
        <v>1.4283816860745277E-2</v>
      </c>
      <c r="O114" s="12">
        <f t="shared" si="11"/>
        <v>1.4283816860745277E-2</v>
      </c>
      <c r="P114"/>
    </row>
    <row r="115" spans="1:16" x14ac:dyDescent="0.2">
      <c r="A115" s="3" t="str">
        <f t="shared" si="12"/>
        <v>20225</v>
      </c>
      <c r="B115" s="49">
        <f t="shared" si="13"/>
        <v>2022</v>
      </c>
      <c r="C115" s="52">
        <v>44712</v>
      </c>
      <c r="D115" s="53">
        <f>+Inputs!D115</f>
        <v>21880073.671260841</v>
      </c>
      <c r="E115" s="53">
        <f>VLOOKUP(A115,'[11]HDD CDD Summary'!$R:$T,2,FALSE)</f>
        <v>108.24999999999997</v>
      </c>
      <c r="F115" s="53">
        <f>VLOOKUP(A115,'[11]HDD CDD Summary'!$R:$T,3,FALSE)</f>
        <v>36.75</v>
      </c>
      <c r="G115" s="53">
        <f>+Inputs!G115</f>
        <v>31</v>
      </c>
      <c r="H115" s="105">
        <f t="shared" si="15"/>
        <v>1</v>
      </c>
      <c r="I115" s="53">
        <f>+Inputs!I115</f>
        <v>336</v>
      </c>
      <c r="J115" s="53">
        <f>+Inputs!J115</f>
        <v>0</v>
      </c>
      <c r="K115" s="53">
        <f>+Inputs!M115</f>
        <v>113</v>
      </c>
      <c r="L115" s="53">
        <f t="shared" si="14"/>
        <v>21519558.42169543</v>
      </c>
      <c r="M115" s="37">
        <f t="shared" si="16"/>
        <v>-360515.24956541136</v>
      </c>
      <c r="N115" s="45">
        <f t="shared" si="17"/>
        <v>-1.647687548872118E-2</v>
      </c>
      <c r="O115" s="12">
        <f t="shared" si="11"/>
        <v>1.647687548872118E-2</v>
      </c>
      <c r="P115"/>
    </row>
    <row r="116" spans="1:16" x14ac:dyDescent="0.2">
      <c r="A116" s="3" t="str">
        <f t="shared" si="12"/>
        <v>20226</v>
      </c>
      <c r="B116" s="49">
        <f t="shared" si="13"/>
        <v>2022</v>
      </c>
      <c r="C116" s="52">
        <v>44742</v>
      </c>
      <c r="D116" s="53">
        <f>+Inputs!D116</f>
        <v>22588251.5</v>
      </c>
      <c r="E116" s="53">
        <f>VLOOKUP(A116,'[11]HDD CDD Summary'!$R:$T,2,FALSE)</f>
        <v>17.699999999999996</v>
      </c>
      <c r="F116" s="53">
        <f>VLOOKUP(A116,'[11]HDD CDD Summary'!$R:$T,3,FALSE)</f>
        <v>64.2</v>
      </c>
      <c r="G116" s="53">
        <f>+Inputs!G116</f>
        <v>30</v>
      </c>
      <c r="H116" s="105">
        <f t="shared" si="15"/>
        <v>0.66666666666666663</v>
      </c>
      <c r="I116" s="53">
        <f>+Inputs!I116</f>
        <v>352</v>
      </c>
      <c r="J116" s="53">
        <f>+Inputs!J116</f>
        <v>0</v>
      </c>
      <c r="K116" s="53">
        <f>+Inputs!M116</f>
        <v>114</v>
      </c>
      <c r="L116" s="53">
        <f t="shared" si="14"/>
        <v>21611581.466719322</v>
      </c>
      <c r="M116" s="37">
        <f t="shared" si="16"/>
        <v>-976670.03328067809</v>
      </c>
      <c r="N116" s="45">
        <f t="shared" si="17"/>
        <v>-4.3237965244041936E-2</v>
      </c>
      <c r="O116" s="12">
        <f t="shared" si="11"/>
        <v>4.3237965244041936E-2</v>
      </c>
      <c r="P116"/>
    </row>
    <row r="117" spans="1:16" x14ac:dyDescent="0.2">
      <c r="A117" s="3" t="str">
        <f t="shared" si="12"/>
        <v>20227</v>
      </c>
      <c r="B117" s="49">
        <f t="shared" si="13"/>
        <v>2022</v>
      </c>
      <c r="C117" s="52">
        <v>44773</v>
      </c>
      <c r="D117" s="53">
        <f>+Inputs!D117</f>
        <v>24257008.129999999</v>
      </c>
      <c r="E117" s="53">
        <f>VLOOKUP(A117,'[11]HDD CDD Summary'!$R:$T,2,FALSE)</f>
        <v>0</v>
      </c>
      <c r="F117" s="53">
        <f>VLOOKUP(A117,'[11]HDD CDD Summary'!$R:$T,3,FALSE)</f>
        <v>144.69999999999996</v>
      </c>
      <c r="G117" s="53">
        <f>+Inputs!G117</f>
        <v>31</v>
      </c>
      <c r="H117" s="105">
        <f t="shared" si="15"/>
        <v>0</v>
      </c>
      <c r="I117" s="53">
        <f>+Inputs!I117</f>
        <v>320</v>
      </c>
      <c r="J117" s="53">
        <f>+Inputs!J117</f>
        <v>0</v>
      </c>
      <c r="K117" s="53">
        <f>+Inputs!M117</f>
        <v>115</v>
      </c>
      <c r="L117" s="53">
        <f t="shared" si="14"/>
        <v>23908533.99956505</v>
      </c>
      <c r="M117" s="37">
        <f t="shared" si="16"/>
        <v>-348474.13043494895</v>
      </c>
      <c r="N117" s="45">
        <f t="shared" si="17"/>
        <v>-1.4365915555924289E-2</v>
      </c>
      <c r="O117" s="12">
        <f t="shared" si="11"/>
        <v>1.4365915555924289E-2</v>
      </c>
      <c r="P117"/>
    </row>
    <row r="118" spans="1:16" x14ac:dyDescent="0.2">
      <c r="A118" s="3" t="str">
        <f t="shared" si="12"/>
        <v>20228</v>
      </c>
      <c r="B118" s="49">
        <f t="shared" si="13"/>
        <v>2022</v>
      </c>
      <c r="C118" s="52">
        <v>44804</v>
      </c>
      <c r="D118" s="53">
        <f>+Inputs!D118</f>
        <v>24568812.140000001</v>
      </c>
      <c r="E118" s="53">
        <f>VLOOKUP(A118,'[11]HDD CDD Summary'!$R:$T,2,FALSE)</f>
        <v>0</v>
      </c>
      <c r="F118" s="53">
        <f>VLOOKUP(A118,'[11]HDD CDD Summary'!$R:$T,3,FALSE)</f>
        <v>140.49999999999997</v>
      </c>
      <c r="G118" s="53">
        <f>+Inputs!G118</f>
        <v>31</v>
      </c>
      <c r="H118" s="105">
        <f t="shared" si="15"/>
        <v>0</v>
      </c>
      <c r="I118" s="53">
        <f>+Inputs!I118</f>
        <v>368</v>
      </c>
      <c r="J118" s="53">
        <f>+Inputs!J118</f>
        <v>0</v>
      </c>
      <c r="K118" s="53">
        <f>+Inputs!M118</f>
        <v>116</v>
      </c>
      <c r="L118" s="53">
        <f t="shared" si="14"/>
        <v>24352902.951900452</v>
      </c>
      <c r="M118" s="37">
        <f t="shared" si="16"/>
        <v>-215909.18809954822</v>
      </c>
      <c r="N118" s="45">
        <f t="shared" si="17"/>
        <v>-8.7879376043594193E-3</v>
      </c>
      <c r="O118" s="12">
        <f t="shared" si="11"/>
        <v>8.7879376043594193E-3</v>
      </c>
      <c r="P118"/>
    </row>
    <row r="119" spans="1:16" x14ac:dyDescent="0.2">
      <c r="A119" s="3" t="str">
        <f t="shared" si="12"/>
        <v>20229</v>
      </c>
      <c r="B119" s="49">
        <f t="shared" si="13"/>
        <v>2022</v>
      </c>
      <c r="C119" s="52">
        <v>44834</v>
      </c>
      <c r="D119" s="53">
        <f>+Inputs!D119</f>
        <v>21763225.319999997</v>
      </c>
      <c r="E119" s="53">
        <f>VLOOKUP(A119,'[11]HDD CDD Summary'!$R:$T,2,FALSE)</f>
        <v>52.3</v>
      </c>
      <c r="F119" s="53">
        <f>VLOOKUP(A119,'[11]HDD CDD Summary'!$R:$T,3,FALSE)</f>
        <v>49.15</v>
      </c>
      <c r="G119" s="53">
        <f>+Inputs!G119</f>
        <v>30</v>
      </c>
      <c r="H119" s="105">
        <f t="shared" si="15"/>
        <v>0.33333333333333331</v>
      </c>
      <c r="I119" s="53">
        <f>+Inputs!I119</f>
        <v>336</v>
      </c>
      <c r="J119" s="53">
        <f>+Inputs!J119</f>
        <v>0</v>
      </c>
      <c r="K119" s="53">
        <f>+Inputs!M119</f>
        <v>117</v>
      </c>
      <c r="L119" s="53">
        <f t="shared" si="14"/>
        <v>21488315.49080085</v>
      </c>
      <c r="M119" s="37">
        <f t="shared" si="16"/>
        <v>-274909.82919914648</v>
      </c>
      <c r="N119" s="45">
        <f t="shared" si="17"/>
        <v>-1.2631851444671185E-2</v>
      </c>
      <c r="O119" s="12">
        <f t="shared" si="11"/>
        <v>1.2631851444671185E-2</v>
      </c>
      <c r="P119"/>
    </row>
    <row r="120" spans="1:16" x14ac:dyDescent="0.2">
      <c r="A120" s="3" t="str">
        <f t="shared" si="12"/>
        <v>202210</v>
      </c>
      <c r="B120" s="49">
        <f t="shared" si="13"/>
        <v>2022</v>
      </c>
      <c r="C120" s="52">
        <v>44865</v>
      </c>
      <c r="D120" s="53">
        <f>+Inputs!D120</f>
        <v>21332534.440000001</v>
      </c>
      <c r="E120" s="53">
        <f>VLOOKUP(A120,'[11]HDD CDD Summary'!$R:$T,2,FALSE)</f>
        <v>236.70000000000002</v>
      </c>
      <c r="F120" s="53">
        <f>VLOOKUP(A120,'[11]HDD CDD Summary'!$R:$T,3,FALSE)</f>
        <v>0.2</v>
      </c>
      <c r="G120" s="53">
        <f>+Inputs!G120</f>
        <v>31</v>
      </c>
      <c r="H120" s="105">
        <f t="shared" si="15"/>
        <v>1</v>
      </c>
      <c r="I120" s="53">
        <f>+Inputs!I120</f>
        <v>320</v>
      </c>
      <c r="J120" s="53">
        <f>+Inputs!J120</f>
        <v>0</v>
      </c>
      <c r="K120" s="53">
        <f>+Inputs!M120</f>
        <v>118</v>
      </c>
      <c r="L120" s="53">
        <f t="shared" si="14"/>
        <v>21271038.706059843</v>
      </c>
      <c r="M120" s="37">
        <f t="shared" si="16"/>
        <v>-61495.733940158039</v>
      </c>
      <c r="N120" s="45">
        <f t="shared" si="17"/>
        <v>-2.8827204809218176E-3</v>
      </c>
      <c r="O120" s="12">
        <f t="shared" si="11"/>
        <v>2.8827204809218176E-3</v>
      </c>
      <c r="P120"/>
    </row>
    <row r="121" spans="1:16" x14ac:dyDescent="0.2">
      <c r="A121" s="3" t="str">
        <f t="shared" si="12"/>
        <v>202211</v>
      </c>
      <c r="B121" s="49">
        <f t="shared" si="13"/>
        <v>2022</v>
      </c>
      <c r="C121" s="52">
        <v>44895</v>
      </c>
      <c r="D121" s="53">
        <f>+Inputs!D121</f>
        <v>22267327.43</v>
      </c>
      <c r="E121" s="53">
        <f>VLOOKUP(A121,'[11]HDD CDD Summary'!$R:$T,2,FALSE)</f>
        <v>380.09999999999997</v>
      </c>
      <c r="F121" s="53">
        <f>VLOOKUP(A121,'[11]HDD CDD Summary'!$R:$T,3,FALSE)</f>
        <v>0.9</v>
      </c>
      <c r="G121" s="53">
        <f>+Inputs!G121</f>
        <v>30</v>
      </c>
      <c r="H121" s="105">
        <f t="shared" si="15"/>
        <v>1</v>
      </c>
      <c r="I121" s="53">
        <f>+Inputs!I121</f>
        <v>352</v>
      </c>
      <c r="J121" s="53">
        <f>+Inputs!J121</f>
        <v>0</v>
      </c>
      <c r="K121" s="53">
        <f>+Inputs!M121</f>
        <v>119</v>
      </c>
      <c r="L121" s="53">
        <f t="shared" si="14"/>
        <v>22070811.801656168</v>
      </c>
      <c r="M121" s="37">
        <f t="shared" si="16"/>
        <v>-196515.62834383175</v>
      </c>
      <c r="N121" s="45">
        <f t="shared" si="17"/>
        <v>-8.8252902806410898E-3</v>
      </c>
      <c r="O121" s="12">
        <f t="shared" si="11"/>
        <v>8.8252902806410898E-3</v>
      </c>
      <c r="P121"/>
    </row>
    <row r="122" spans="1:16" x14ac:dyDescent="0.2">
      <c r="A122" s="3" t="str">
        <f t="shared" si="12"/>
        <v>202212</v>
      </c>
      <c r="B122" s="49">
        <f t="shared" si="13"/>
        <v>2022</v>
      </c>
      <c r="C122" s="52">
        <v>44926</v>
      </c>
      <c r="D122" s="53">
        <f>+Inputs!D122</f>
        <v>23648226.640000001</v>
      </c>
      <c r="E122" s="53">
        <f>VLOOKUP(A122,'[11]HDD CDD Summary'!$R:$T,2,FALSE)</f>
        <v>575.29999999999984</v>
      </c>
      <c r="F122" s="53">
        <f>VLOOKUP(A122,'[11]HDD CDD Summary'!$R:$T,3,FALSE)</f>
        <v>0</v>
      </c>
      <c r="G122" s="53">
        <f>+Inputs!G122</f>
        <v>31</v>
      </c>
      <c r="H122" s="105">
        <f t="shared" si="15"/>
        <v>0.66666666666666663</v>
      </c>
      <c r="I122" s="53">
        <f>+Inputs!I122</f>
        <v>320</v>
      </c>
      <c r="J122" s="53">
        <f>+Inputs!J122</f>
        <v>0</v>
      </c>
      <c r="K122" s="53">
        <f>+Inputs!M122</f>
        <v>120</v>
      </c>
      <c r="L122" s="53">
        <f t="shared" si="14"/>
        <v>23439911.184689593</v>
      </c>
      <c r="M122" s="37">
        <f t="shared" si="16"/>
        <v>-208315.45531040803</v>
      </c>
      <c r="N122" s="45">
        <f t="shared" si="17"/>
        <v>-8.8089250192676608E-3</v>
      </c>
      <c r="O122" s="12">
        <f t="shared" si="11"/>
        <v>8.8089250192676608E-3</v>
      </c>
      <c r="P122"/>
    </row>
    <row r="123" spans="1:16" x14ac:dyDescent="0.2">
      <c r="A123" s="3" t="str">
        <f t="shared" si="12"/>
        <v>20231</v>
      </c>
      <c r="B123" s="49">
        <f t="shared" si="13"/>
        <v>2023</v>
      </c>
      <c r="C123" s="52">
        <v>44957</v>
      </c>
      <c r="D123" s="201">
        <f>+Inputs!D123</f>
        <v>24583662.5</v>
      </c>
      <c r="E123" s="201">
        <f>+Inputs!E123</f>
        <v>585.09999999999991</v>
      </c>
      <c r="F123" s="201">
        <f>+Inputs!F123</f>
        <v>0</v>
      </c>
      <c r="G123" s="53">
        <f>+Inputs!G123</f>
        <v>31</v>
      </c>
      <c r="H123" s="105">
        <f t="shared" si="15"/>
        <v>0</v>
      </c>
      <c r="I123" s="53">
        <f>+Inputs!I123</f>
        <v>336</v>
      </c>
      <c r="J123" s="53">
        <f>+Inputs!J123</f>
        <v>0</v>
      </c>
      <c r="K123" s="201">
        <f>+Inputs!M123</f>
        <v>121</v>
      </c>
      <c r="L123" s="53">
        <f t="shared" si="14"/>
        <v>24040171.561848771</v>
      </c>
      <c r="M123" s="224">
        <f t="shared" ref="M123:M131" si="18">L123-D123</f>
        <v>-543490.93815122917</v>
      </c>
      <c r="N123" s="225">
        <f t="shared" ref="N123:N131" si="19">M123/D123</f>
        <v>-2.2107809938866074E-2</v>
      </c>
      <c r="O123" s="226">
        <f t="shared" ref="O123:O131" si="20">ABS(N123)</f>
        <v>2.2107809938866074E-2</v>
      </c>
    </row>
    <row r="124" spans="1:16" x14ac:dyDescent="0.2">
      <c r="A124" s="3" t="str">
        <f t="shared" si="12"/>
        <v>20232</v>
      </c>
      <c r="B124" s="49">
        <f t="shared" si="13"/>
        <v>2023</v>
      </c>
      <c r="C124" s="52">
        <v>44985</v>
      </c>
      <c r="D124" s="201">
        <f>+Inputs!D124</f>
        <v>22002707.612050563</v>
      </c>
      <c r="E124" s="201">
        <f>+Inputs!E124</f>
        <v>543.29999999999995</v>
      </c>
      <c r="F124" s="201">
        <f>+Inputs!F124</f>
        <v>0</v>
      </c>
      <c r="G124" s="53">
        <f>+Inputs!G124</f>
        <v>28</v>
      </c>
      <c r="H124" s="105">
        <f t="shared" si="15"/>
        <v>0</v>
      </c>
      <c r="I124" s="53">
        <f>+Inputs!I124</f>
        <v>304</v>
      </c>
      <c r="J124" s="53">
        <f>+Inputs!J124</f>
        <v>0</v>
      </c>
      <c r="K124" s="201">
        <f>+Inputs!M124</f>
        <v>122</v>
      </c>
      <c r="L124" s="53">
        <f t="shared" si="14"/>
        <v>22196041.78726976</v>
      </c>
      <c r="M124" s="224">
        <f t="shared" si="18"/>
        <v>193334.17521919683</v>
      </c>
      <c r="N124" s="225">
        <f t="shared" si="19"/>
        <v>8.7868356307798465E-3</v>
      </c>
      <c r="O124" s="226">
        <f t="shared" si="20"/>
        <v>8.7868356307798465E-3</v>
      </c>
      <c r="P124"/>
    </row>
    <row r="125" spans="1:16" x14ac:dyDescent="0.2">
      <c r="A125" s="3" t="str">
        <f t="shared" si="12"/>
        <v>20233</v>
      </c>
      <c r="B125" s="49">
        <f t="shared" si="13"/>
        <v>2023</v>
      </c>
      <c r="C125" s="52">
        <v>45016</v>
      </c>
      <c r="D125" s="201">
        <f>+Inputs!D125</f>
        <v>23768845.469999999</v>
      </c>
      <c r="E125" s="201">
        <f>+Inputs!E125</f>
        <v>530.90000000000009</v>
      </c>
      <c r="F125" s="201">
        <f>+Inputs!F125</f>
        <v>0</v>
      </c>
      <c r="G125" s="53">
        <f>+Inputs!G125</f>
        <v>31</v>
      </c>
      <c r="H125" s="105">
        <f t="shared" si="15"/>
        <v>0.33333333333333331</v>
      </c>
      <c r="I125" s="53">
        <f>+Inputs!I125</f>
        <v>368</v>
      </c>
      <c r="J125" s="53">
        <f>+Inputs!J125</f>
        <v>0</v>
      </c>
      <c r="K125" s="201">
        <f>+Inputs!M125</f>
        <v>123</v>
      </c>
      <c r="L125" s="53">
        <f t="shared" si="14"/>
        <v>23934583.687984549</v>
      </c>
      <c r="M125" s="224">
        <f t="shared" si="18"/>
        <v>165738.2179845497</v>
      </c>
      <c r="N125" s="225">
        <f t="shared" si="19"/>
        <v>6.972918318381819E-3</v>
      </c>
      <c r="O125" s="226">
        <f t="shared" si="20"/>
        <v>6.972918318381819E-3</v>
      </c>
      <c r="P125"/>
    </row>
    <row r="126" spans="1:16" x14ac:dyDescent="0.2">
      <c r="A126" s="3" t="str">
        <f t="shared" si="12"/>
        <v>20234</v>
      </c>
      <c r="B126" s="49">
        <f t="shared" si="13"/>
        <v>2023</v>
      </c>
      <c r="C126" s="52">
        <v>45046</v>
      </c>
      <c r="D126" s="201">
        <f>+Inputs!D126</f>
        <v>21333713.989999998</v>
      </c>
      <c r="E126" s="201">
        <f>+Inputs!E126</f>
        <v>275.70000000000005</v>
      </c>
      <c r="F126" s="201">
        <f>+Inputs!F126</f>
        <v>7.1000000000000005</v>
      </c>
      <c r="G126" s="53">
        <f>+Inputs!G126</f>
        <v>30</v>
      </c>
      <c r="H126" s="105">
        <f t="shared" si="15"/>
        <v>1</v>
      </c>
      <c r="I126" s="53">
        <f>+Inputs!I126</f>
        <v>304</v>
      </c>
      <c r="J126" s="53">
        <f>+Inputs!J126</f>
        <v>0</v>
      </c>
      <c r="K126" s="201">
        <f>+Inputs!M126</f>
        <v>124</v>
      </c>
      <c r="L126" s="53">
        <f t="shared" si="14"/>
        <v>21159331.547722459</v>
      </c>
      <c r="M126" s="224">
        <f t="shared" si="18"/>
        <v>-174382.44227753952</v>
      </c>
      <c r="N126" s="225">
        <f t="shared" si="19"/>
        <v>-8.1740311302232627E-3</v>
      </c>
      <c r="O126" s="226">
        <f t="shared" si="20"/>
        <v>8.1740311302232627E-3</v>
      </c>
      <c r="P126"/>
    </row>
    <row r="127" spans="1:16" x14ac:dyDescent="0.2">
      <c r="A127" s="3" t="str">
        <f t="shared" si="12"/>
        <v>20235</v>
      </c>
      <c r="B127" s="49">
        <f t="shared" si="13"/>
        <v>2023</v>
      </c>
      <c r="C127" s="52">
        <v>45077</v>
      </c>
      <c r="D127" s="201">
        <f>+Inputs!D127</f>
        <v>21691788.009999998</v>
      </c>
      <c r="E127" s="201">
        <f>+Inputs!E127</f>
        <v>153.89999999999998</v>
      </c>
      <c r="F127" s="201">
        <f>+Inputs!F127</f>
        <v>15</v>
      </c>
      <c r="G127" s="53">
        <f>+Inputs!G127</f>
        <v>31</v>
      </c>
      <c r="H127" s="105">
        <f t="shared" si="15"/>
        <v>1</v>
      </c>
      <c r="I127" s="53">
        <f>+Inputs!I127</f>
        <v>352</v>
      </c>
      <c r="J127" s="53">
        <f>+Inputs!J127</f>
        <v>0</v>
      </c>
      <c r="K127" s="201">
        <f>+Inputs!M127</f>
        <v>125</v>
      </c>
      <c r="L127" s="53">
        <f t="shared" si="14"/>
        <v>21612116.061575629</v>
      </c>
      <c r="M127" s="224">
        <f t="shared" si="18"/>
        <v>-79671.948424369097</v>
      </c>
      <c r="N127" s="225">
        <f t="shared" si="19"/>
        <v>-3.672908309247722E-3</v>
      </c>
      <c r="O127" s="226">
        <f t="shared" si="20"/>
        <v>3.672908309247722E-3</v>
      </c>
      <c r="P127"/>
    </row>
    <row r="128" spans="1:16" x14ac:dyDescent="0.2">
      <c r="A128" s="3" t="str">
        <f t="shared" si="12"/>
        <v>20236</v>
      </c>
      <c r="B128" s="49">
        <f t="shared" si="13"/>
        <v>2023</v>
      </c>
      <c r="C128" s="52">
        <v>45107</v>
      </c>
      <c r="D128" s="201">
        <f>+Inputs!D128</f>
        <v>22454588.449999999</v>
      </c>
      <c r="E128" s="201">
        <f>+Inputs!E128</f>
        <v>16.099999999999998</v>
      </c>
      <c r="F128" s="201">
        <f>+Inputs!F128</f>
        <v>59.100000000000009</v>
      </c>
      <c r="G128" s="53">
        <f>+Inputs!G128</f>
        <v>30</v>
      </c>
      <c r="H128" s="105">
        <f t="shared" si="15"/>
        <v>0.66666666666666663</v>
      </c>
      <c r="I128" s="53">
        <f>+Inputs!I128</f>
        <v>352</v>
      </c>
      <c r="J128" s="53">
        <f>+Inputs!J128</f>
        <v>0</v>
      </c>
      <c r="K128" s="201">
        <f>+Inputs!M128</f>
        <v>126</v>
      </c>
      <c r="L128" s="53">
        <f t="shared" si="14"/>
        <v>21659222.656536661</v>
      </c>
      <c r="M128" s="224">
        <f t="shared" si="18"/>
        <v>-795365.79346333817</v>
      </c>
      <c r="N128" s="225">
        <f t="shared" si="19"/>
        <v>-3.5421080873265266E-2</v>
      </c>
      <c r="O128" s="226">
        <f t="shared" si="20"/>
        <v>3.5421080873265266E-2</v>
      </c>
      <c r="P128"/>
    </row>
    <row r="129" spans="1:16" x14ac:dyDescent="0.2">
      <c r="A129" s="3" t="str">
        <f t="shared" si="12"/>
        <v>20237</v>
      </c>
      <c r="B129" s="49">
        <f t="shared" si="13"/>
        <v>2023</v>
      </c>
      <c r="C129" s="52">
        <v>45138</v>
      </c>
      <c r="D129" s="201">
        <f>+Inputs!D129</f>
        <v>24590952.84</v>
      </c>
      <c r="E129" s="201">
        <f>+Inputs!E129</f>
        <v>0</v>
      </c>
      <c r="F129" s="201">
        <f>+Inputs!F129</f>
        <v>128.29999999999995</v>
      </c>
      <c r="G129" s="53">
        <f>+Inputs!G129</f>
        <v>31</v>
      </c>
      <c r="H129" s="105">
        <f t="shared" si="15"/>
        <v>0</v>
      </c>
      <c r="I129" s="53">
        <f>+Inputs!I129</f>
        <v>320</v>
      </c>
      <c r="J129" s="53">
        <f>+Inputs!J129</f>
        <v>0</v>
      </c>
      <c r="K129" s="201">
        <f>+Inputs!M129</f>
        <v>127</v>
      </c>
      <c r="L129" s="53">
        <f t="shared" si="14"/>
        <v>23689239.82510145</v>
      </c>
      <c r="M129" s="224">
        <f t="shared" si="18"/>
        <v>-901713.01489854977</v>
      </c>
      <c r="N129" s="225">
        <f t="shared" si="19"/>
        <v>-3.6668486201633078E-2</v>
      </c>
      <c r="O129" s="226">
        <f t="shared" si="20"/>
        <v>3.6668486201633078E-2</v>
      </c>
      <c r="P129"/>
    </row>
    <row r="130" spans="1:16" x14ac:dyDescent="0.2">
      <c r="A130" s="3" t="str">
        <f t="shared" si="12"/>
        <v>20238</v>
      </c>
      <c r="B130" s="49">
        <f t="shared" si="13"/>
        <v>2023</v>
      </c>
      <c r="C130" s="52">
        <v>45169</v>
      </c>
      <c r="D130" s="201">
        <f>+Inputs!D130</f>
        <v>23090322.559999999</v>
      </c>
      <c r="E130" s="201">
        <f>+Inputs!E130</f>
        <v>7</v>
      </c>
      <c r="F130" s="201">
        <f>+Inputs!F130</f>
        <v>70.799999999999983</v>
      </c>
      <c r="G130" s="53">
        <f>+Inputs!G130</f>
        <v>31</v>
      </c>
      <c r="H130" s="105">
        <f t="shared" si="15"/>
        <v>0</v>
      </c>
      <c r="I130" s="53">
        <f>+Inputs!I130</f>
        <v>368</v>
      </c>
      <c r="J130" s="53">
        <f>+Inputs!J130</f>
        <v>0</v>
      </c>
      <c r="K130" s="201">
        <f>+Inputs!M130</f>
        <v>128</v>
      </c>
      <c r="L130" s="53">
        <f t="shared" si="14"/>
        <v>22871345.482711297</v>
      </c>
      <c r="M130" s="224">
        <f t="shared" si="18"/>
        <v>-218977.07728870213</v>
      </c>
      <c r="N130" s="225">
        <f t="shared" si="19"/>
        <v>-9.4835001425247374E-3</v>
      </c>
      <c r="O130" s="226">
        <f t="shared" si="20"/>
        <v>9.4835001425247374E-3</v>
      </c>
      <c r="P130"/>
    </row>
    <row r="131" spans="1:16" x14ac:dyDescent="0.2">
      <c r="A131" s="3" t="str">
        <f t="shared" si="12"/>
        <v>20239</v>
      </c>
      <c r="B131" s="49">
        <f t="shared" si="13"/>
        <v>2023</v>
      </c>
      <c r="C131" s="52">
        <v>45199</v>
      </c>
      <c r="D131" s="201">
        <f>+Inputs!D131</f>
        <v>21567772.719999999</v>
      </c>
      <c r="E131" s="201">
        <f>+Inputs!E131</f>
        <v>26</v>
      </c>
      <c r="F131" s="201">
        <f>+Inputs!F131</f>
        <v>47</v>
      </c>
      <c r="G131" s="53">
        <f>+Inputs!G131</f>
        <v>30</v>
      </c>
      <c r="H131" s="105">
        <f t="shared" si="15"/>
        <v>0.33333333333333331</v>
      </c>
      <c r="I131" s="53">
        <f>+Inputs!I131</f>
        <v>320</v>
      </c>
      <c r="J131" s="53">
        <f>+Inputs!J131</f>
        <v>0</v>
      </c>
      <c r="K131" s="201">
        <f>+Inputs!M131</f>
        <v>129</v>
      </c>
      <c r="L131" s="53">
        <f t="shared" si="14"/>
        <v>21287204.162581638</v>
      </c>
      <c r="M131" s="224">
        <f t="shared" si="18"/>
        <v>-280568.55741836131</v>
      </c>
      <c r="N131" s="225">
        <f t="shared" si="19"/>
        <v>-1.3008694085420672E-2</v>
      </c>
      <c r="O131" s="226">
        <f t="shared" si="20"/>
        <v>1.3008694085420672E-2</v>
      </c>
      <c r="P131"/>
    </row>
    <row r="132" spans="1:16" x14ac:dyDescent="0.2">
      <c r="A132" s="3" t="str">
        <f t="shared" ref="A132:A146" si="21">YEAR(C132)&amp;MONTH(C132)</f>
        <v>202310</v>
      </c>
      <c r="B132" s="49">
        <f t="shared" ref="B132:B146" si="22">YEAR(C132)</f>
        <v>2023</v>
      </c>
      <c r="C132" s="52">
        <v>45230</v>
      </c>
      <c r="D132" s="53"/>
      <c r="E132" s="201">
        <f>+Inputs!E132</f>
        <v>222.22000000000003</v>
      </c>
      <c r="F132" s="201">
        <f>+Inputs!F132</f>
        <v>3.3</v>
      </c>
      <c r="G132" s="53">
        <f>+Inputs!G132</f>
        <v>31</v>
      </c>
      <c r="H132" s="105">
        <f t="shared" si="15"/>
        <v>1</v>
      </c>
      <c r="I132" s="53">
        <f>+Inputs!I132</f>
        <v>336</v>
      </c>
      <c r="J132" s="53">
        <f>+Inputs!J132</f>
        <v>0</v>
      </c>
      <c r="K132" s="201">
        <f>+Inputs!M132</f>
        <v>130</v>
      </c>
      <c r="L132" s="53">
        <f t="shared" ref="L132:L146" si="23">$R$18+$R$19*E132+$R$20*F132+$R$21*G132+$R$22*H132+$R$23*I132+J132*$R$24+K132*$R$25</f>
        <v>21621572.638382416</v>
      </c>
      <c r="M132" s="37"/>
      <c r="N132"/>
      <c r="O132" s="5">
        <f>AVERAGE(O3:O131)</f>
        <v>1.5493841015168274E-2</v>
      </c>
      <c r="P132" t="s">
        <v>72</v>
      </c>
    </row>
    <row r="133" spans="1:16" x14ac:dyDescent="0.2">
      <c r="A133" s="3" t="str">
        <f t="shared" si="21"/>
        <v>202311</v>
      </c>
      <c r="B133" s="49">
        <f t="shared" si="22"/>
        <v>2023</v>
      </c>
      <c r="C133" s="52">
        <v>45260</v>
      </c>
      <c r="D133" s="53"/>
      <c r="E133" s="201">
        <f>+Inputs!E133</f>
        <v>420.84500000000008</v>
      </c>
      <c r="F133" s="201">
        <f>+Inputs!F133</f>
        <v>0.09</v>
      </c>
      <c r="G133" s="53">
        <f>+Inputs!G133</f>
        <v>30</v>
      </c>
      <c r="H133" s="105">
        <f t="shared" si="15"/>
        <v>1</v>
      </c>
      <c r="I133" s="53">
        <f>+Inputs!I133</f>
        <v>352</v>
      </c>
      <c r="J133" s="53">
        <f>+Inputs!J133</f>
        <v>0</v>
      </c>
      <c r="K133" s="201">
        <f>+Inputs!M133</f>
        <v>131</v>
      </c>
      <c r="L133" s="53">
        <f t="shared" si="23"/>
        <v>22469448.456114229</v>
      </c>
      <c r="M133" s="37"/>
      <c r="N133"/>
      <c r="O133"/>
      <c r="P133"/>
    </row>
    <row r="134" spans="1:16" x14ac:dyDescent="0.2">
      <c r="A134" s="3" t="str">
        <f t="shared" si="21"/>
        <v>202312</v>
      </c>
      <c r="B134" s="49">
        <f t="shared" si="22"/>
        <v>2023</v>
      </c>
      <c r="C134" s="52">
        <v>45291</v>
      </c>
      <c r="D134" s="53"/>
      <c r="E134" s="201">
        <f>+Inputs!E134</f>
        <v>579.06000000000006</v>
      </c>
      <c r="F134" s="201">
        <f>+Inputs!F134</f>
        <v>0</v>
      </c>
      <c r="G134" s="53">
        <f>+Inputs!G134</f>
        <v>31</v>
      </c>
      <c r="H134" s="105">
        <f t="shared" si="15"/>
        <v>0.66666666666666663</v>
      </c>
      <c r="I134" s="53">
        <f>+Inputs!I134</f>
        <v>304</v>
      </c>
      <c r="J134" s="53">
        <f>+Inputs!J134</f>
        <v>0</v>
      </c>
      <c r="K134" s="201">
        <f>+Inputs!M134</f>
        <v>132</v>
      </c>
      <c r="L134" s="53">
        <f t="shared" si="23"/>
        <v>23466077.064725854</v>
      </c>
      <c r="M134" s="37"/>
      <c r="N134"/>
      <c r="O134"/>
      <c r="P134"/>
    </row>
    <row r="135" spans="1:16" x14ac:dyDescent="0.2">
      <c r="A135" s="3" t="str">
        <f t="shared" si="21"/>
        <v>20241</v>
      </c>
      <c r="B135" s="49">
        <f t="shared" si="22"/>
        <v>2024</v>
      </c>
      <c r="C135" s="52">
        <v>45322</v>
      </c>
      <c r="D135" s="53"/>
      <c r="E135" s="201">
        <f>+Inputs!E135</f>
        <v>703.65</v>
      </c>
      <c r="F135" s="201">
        <f>+Inputs!F135</f>
        <v>0</v>
      </c>
      <c r="G135" s="53">
        <f>+Inputs!G135</f>
        <v>31</v>
      </c>
      <c r="H135" s="105">
        <f t="shared" si="15"/>
        <v>0</v>
      </c>
      <c r="I135" s="53">
        <f>+Inputs!I135</f>
        <v>352</v>
      </c>
      <c r="J135" s="53">
        <f>+Inputs!J135</f>
        <v>0</v>
      </c>
      <c r="K135" s="201">
        <f>+Inputs!M135</f>
        <v>133</v>
      </c>
      <c r="L135" s="53">
        <f t="shared" si="23"/>
        <v>25088140.909115434</v>
      </c>
      <c r="M135" s="37"/>
      <c r="N135"/>
      <c r="O135"/>
      <c r="P135"/>
    </row>
    <row r="136" spans="1:16" x14ac:dyDescent="0.2">
      <c r="A136" s="3" t="str">
        <f t="shared" si="21"/>
        <v>20242</v>
      </c>
      <c r="B136" s="49">
        <f t="shared" si="22"/>
        <v>2024</v>
      </c>
      <c r="C136" s="52">
        <v>45351</v>
      </c>
      <c r="D136" s="53"/>
      <c r="E136" s="201">
        <f>+Inputs!E136</f>
        <v>630.40499999999997</v>
      </c>
      <c r="F136" s="201">
        <f>+Inputs!F136</f>
        <v>0</v>
      </c>
      <c r="G136" s="53">
        <f>+Inputs!G136</f>
        <v>29</v>
      </c>
      <c r="H136" s="105">
        <f t="shared" si="15"/>
        <v>0</v>
      </c>
      <c r="I136" s="53">
        <f>+Inputs!I136</f>
        <v>320</v>
      </c>
      <c r="J136" s="53">
        <f>+Inputs!J136</f>
        <v>0</v>
      </c>
      <c r="K136" s="201">
        <f>+Inputs!M136</f>
        <v>134</v>
      </c>
      <c r="L136" s="53">
        <f t="shared" si="23"/>
        <v>23481809.861179031</v>
      </c>
      <c r="M136" s="37"/>
      <c r="N136"/>
      <c r="O136"/>
      <c r="P136"/>
    </row>
    <row r="137" spans="1:16" x14ac:dyDescent="0.2">
      <c r="A137" s="3" t="str">
        <f t="shared" si="21"/>
        <v>20243</v>
      </c>
      <c r="B137" s="49">
        <f t="shared" si="22"/>
        <v>2024</v>
      </c>
      <c r="C137" s="52">
        <v>45382</v>
      </c>
      <c r="D137" s="53"/>
      <c r="E137" s="201">
        <f>+Inputs!E137</f>
        <v>547.82999999999993</v>
      </c>
      <c r="F137" s="201">
        <f>+Inputs!F137</f>
        <v>0</v>
      </c>
      <c r="G137" s="53">
        <f>+Inputs!G137</f>
        <v>31</v>
      </c>
      <c r="H137" s="105">
        <f t="shared" si="15"/>
        <v>0.33333333333333331</v>
      </c>
      <c r="I137" s="53">
        <f>+Inputs!I137</f>
        <v>320</v>
      </c>
      <c r="J137" s="53">
        <f>+Inputs!J137</f>
        <v>0</v>
      </c>
      <c r="K137" s="201">
        <f>+Inputs!M137</f>
        <v>135</v>
      </c>
      <c r="L137" s="53">
        <f t="shared" si="23"/>
        <v>23682694.22509107</v>
      </c>
      <c r="M137" s="37"/>
      <c r="N137"/>
      <c r="O137"/>
      <c r="P137"/>
    </row>
    <row r="138" spans="1:16" x14ac:dyDescent="0.2">
      <c r="A138" s="3" t="str">
        <f t="shared" si="21"/>
        <v>20244</v>
      </c>
      <c r="B138" s="49">
        <f t="shared" si="22"/>
        <v>2024</v>
      </c>
      <c r="C138" s="52">
        <v>45412</v>
      </c>
      <c r="D138" s="53"/>
      <c r="E138" s="201">
        <f>+Inputs!E138</f>
        <v>338.72500000000002</v>
      </c>
      <c r="F138" s="201">
        <f>+Inputs!F138</f>
        <v>0.71000000000000008</v>
      </c>
      <c r="G138" s="53">
        <f>+Inputs!G138</f>
        <v>30</v>
      </c>
      <c r="H138" s="105">
        <f t="shared" si="15"/>
        <v>1</v>
      </c>
      <c r="I138" s="53">
        <f>+Inputs!I138</f>
        <v>352</v>
      </c>
      <c r="J138" s="53">
        <f>+Inputs!J138</f>
        <v>0</v>
      </c>
      <c r="K138" s="201">
        <f>+Inputs!M138</f>
        <v>136</v>
      </c>
      <c r="L138" s="53">
        <f t="shared" si="23"/>
        <v>22082966.919153493</v>
      </c>
      <c r="M138" s="37"/>
      <c r="N138"/>
      <c r="O138"/>
      <c r="P138"/>
    </row>
    <row r="139" spans="1:16" x14ac:dyDescent="0.2">
      <c r="A139" s="3" t="str">
        <f t="shared" si="21"/>
        <v>20245</v>
      </c>
      <c r="B139" s="49">
        <f t="shared" si="22"/>
        <v>2024</v>
      </c>
      <c r="C139" s="52">
        <v>45443</v>
      </c>
      <c r="D139" s="53"/>
      <c r="E139" s="201">
        <f>+Inputs!E139</f>
        <v>144.06</v>
      </c>
      <c r="F139" s="201">
        <f>+Inputs!F139</f>
        <v>23.914999999999999</v>
      </c>
      <c r="G139" s="53">
        <f>+Inputs!G139</f>
        <v>31</v>
      </c>
      <c r="H139" s="105">
        <f t="shared" si="15"/>
        <v>1</v>
      </c>
      <c r="I139" s="53">
        <f>+Inputs!I139</f>
        <v>352</v>
      </c>
      <c r="J139" s="53">
        <f>+Inputs!J139</f>
        <v>0</v>
      </c>
      <c r="K139" s="201">
        <f>+Inputs!M139</f>
        <v>137</v>
      </c>
      <c r="L139" s="53">
        <f t="shared" si="23"/>
        <v>21954468.387142725</v>
      </c>
      <c r="M139" s="37"/>
      <c r="N139"/>
      <c r="O139"/>
      <c r="P139"/>
    </row>
    <row r="140" spans="1:16" x14ac:dyDescent="0.2">
      <c r="A140" s="3" t="str">
        <f t="shared" si="21"/>
        <v>20246</v>
      </c>
      <c r="B140" s="49">
        <f t="shared" si="22"/>
        <v>2024</v>
      </c>
      <c r="C140" s="52">
        <v>45473</v>
      </c>
      <c r="D140" s="53"/>
      <c r="E140" s="201">
        <f>+Inputs!E140</f>
        <v>21.37</v>
      </c>
      <c r="F140" s="201">
        <f>+Inputs!F140</f>
        <v>69.710000000000008</v>
      </c>
      <c r="G140" s="53">
        <f>+Inputs!G140</f>
        <v>30</v>
      </c>
      <c r="H140" s="105">
        <f t="shared" si="15"/>
        <v>0.66666666666666663</v>
      </c>
      <c r="I140" s="53">
        <f>+Inputs!I140</f>
        <v>320</v>
      </c>
      <c r="J140" s="53">
        <f>+Inputs!J140</f>
        <v>0</v>
      </c>
      <c r="K140" s="201">
        <f>+Inputs!M140</f>
        <v>138</v>
      </c>
      <c r="L140" s="53">
        <f t="shared" si="23"/>
        <v>21776230.863720629</v>
      </c>
      <c r="M140" s="37"/>
      <c r="N140"/>
      <c r="O140"/>
      <c r="P140"/>
    </row>
    <row r="141" spans="1:16" x14ac:dyDescent="0.2">
      <c r="A141" s="3" t="str">
        <f t="shared" si="21"/>
        <v>20247</v>
      </c>
      <c r="B141" s="49">
        <f t="shared" si="22"/>
        <v>2024</v>
      </c>
      <c r="C141" s="52">
        <v>45504</v>
      </c>
      <c r="D141" s="53"/>
      <c r="E141" s="201">
        <f>+Inputs!E141</f>
        <v>1.24</v>
      </c>
      <c r="F141" s="201">
        <f>+Inputs!F141</f>
        <v>140.78500000000003</v>
      </c>
      <c r="G141" s="53">
        <f>+Inputs!G141</f>
        <v>31</v>
      </c>
      <c r="H141" s="105">
        <f t="shared" si="15"/>
        <v>0</v>
      </c>
      <c r="I141" s="53">
        <f>+Inputs!I141</f>
        <v>352</v>
      </c>
      <c r="J141" s="53">
        <f>+Inputs!J141</f>
        <v>0</v>
      </c>
      <c r="K141" s="201">
        <f>+Inputs!M141</f>
        <v>139</v>
      </c>
      <c r="L141" s="53">
        <f t="shared" si="23"/>
        <v>24537867.688750044</v>
      </c>
      <c r="M141" s="37"/>
      <c r="N141"/>
      <c r="O141"/>
      <c r="P141"/>
    </row>
    <row r="142" spans="1:16" x14ac:dyDescent="0.2">
      <c r="A142" s="3" t="str">
        <f t="shared" si="21"/>
        <v>20248</v>
      </c>
      <c r="B142" s="49">
        <f t="shared" si="22"/>
        <v>2024</v>
      </c>
      <c r="C142" s="52">
        <v>45535</v>
      </c>
      <c r="D142" s="53"/>
      <c r="E142" s="201">
        <f>+Inputs!E142</f>
        <v>3.5549999999999997</v>
      </c>
      <c r="F142" s="201">
        <f>+Inputs!F142</f>
        <v>122.37</v>
      </c>
      <c r="G142" s="53">
        <f>+Inputs!G142</f>
        <v>31</v>
      </c>
      <c r="H142" s="105">
        <f t="shared" si="15"/>
        <v>0</v>
      </c>
      <c r="I142" s="53">
        <f>+Inputs!I142</f>
        <v>352</v>
      </c>
      <c r="J142" s="53">
        <f>+Inputs!J142</f>
        <v>0</v>
      </c>
      <c r="K142" s="201">
        <f>+Inputs!M142</f>
        <v>140</v>
      </c>
      <c r="L142" s="53">
        <f t="shared" si="23"/>
        <v>24116292.262202203</v>
      </c>
      <c r="M142" s="37"/>
      <c r="N142"/>
      <c r="O142"/>
      <c r="P142"/>
    </row>
    <row r="143" spans="1:16" x14ac:dyDescent="0.2">
      <c r="A143" s="3" t="str">
        <f t="shared" si="21"/>
        <v>20249</v>
      </c>
      <c r="B143" s="49">
        <f t="shared" si="22"/>
        <v>2024</v>
      </c>
      <c r="C143" s="52">
        <v>45565</v>
      </c>
      <c r="D143" s="53"/>
      <c r="E143" s="201">
        <f>+Inputs!E143</f>
        <v>44.225000000000009</v>
      </c>
      <c r="F143" s="201">
        <f>+Inputs!F143</f>
        <v>50.904999999999987</v>
      </c>
      <c r="G143" s="53">
        <f>+Inputs!G143</f>
        <v>30</v>
      </c>
      <c r="H143" s="105">
        <f t="shared" si="15"/>
        <v>0.33333333333333331</v>
      </c>
      <c r="I143" s="53">
        <f>+Inputs!I143</f>
        <v>320</v>
      </c>
      <c r="J143" s="53">
        <f>+Inputs!J143</f>
        <v>0</v>
      </c>
      <c r="K143" s="201">
        <f>+Inputs!M143</f>
        <v>141</v>
      </c>
      <c r="L143" s="53">
        <f t="shared" si="23"/>
        <v>21670207.665094621</v>
      </c>
      <c r="M143" s="37"/>
      <c r="N143"/>
      <c r="O143"/>
      <c r="P143"/>
    </row>
    <row r="144" spans="1:16" x14ac:dyDescent="0.2">
      <c r="A144" s="3" t="str">
        <f t="shared" si="21"/>
        <v>202410</v>
      </c>
      <c r="B144" s="49">
        <f t="shared" si="22"/>
        <v>2024</v>
      </c>
      <c r="C144" s="52">
        <v>45596</v>
      </c>
      <c r="D144" s="53"/>
      <c r="E144" s="201">
        <f>+Inputs!E144</f>
        <v>222.22000000000003</v>
      </c>
      <c r="F144" s="201">
        <f>+Inputs!F144</f>
        <v>3.3</v>
      </c>
      <c r="G144" s="53">
        <f>+Inputs!G144</f>
        <v>31</v>
      </c>
      <c r="H144" s="105">
        <f t="shared" ref="H144:H146" si="24">+H132</f>
        <v>1</v>
      </c>
      <c r="I144" s="53">
        <f>+Inputs!I144</f>
        <v>352</v>
      </c>
      <c r="J144" s="53">
        <f>+Inputs!J144</f>
        <v>0</v>
      </c>
      <c r="K144" s="201">
        <f>+Inputs!M144</f>
        <v>142</v>
      </c>
      <c r="L144" s="53">
        <f t="shared" si="23"/>
        <v>21980488.061486498</v>
      </c>
      <c r="M144" s="37"/>
      <c r="N144"/>
      <c r="O144"/>
      <c r="P144"/>
    </row>
    <row r="145" spans="1:16" x14ac:dyDescent="0.2">
      <c r="A145" s="3" t="str">
        <f t="shared" si="21"/>
        <v>202411</v>
      </c>
      <c r="B145" s="49">
        <f t="shared" si="22"/>
        <v>2024</v>
      </c>
      <c r="C145" s="52">
        <v>45626</v>
      </c>
      <c r="D145" s="53"/>
      <c r="E145" s="201">
        <f>+Inputs!E145</f>
        <v>420.84500000000008</v>
      </c>
      <c r="F145" s="201">
        <f>+Inputs!F145</f>
        <v>0.09</v>
      </c>
      <c r="G145" s="53">
        <f>+Inputs!G145</f>
        <v>30</v>
      </c>
      <c r="H145" s="105">
        <f t="shared" si="24"/>
        <v>1</v>
      </c>
      <c r="I145" s="53">
        <f>+Inputs!I145</f>
        <v>336</v>
      </c>
      <c r="J145" s="53">
        <f>+Inputs!J145</f>
        <v>0</v>
      </c>
      <c r="K145" s="201">
        <f>+Inputs!M145</f>
        <v>143</v>
      </c>
      <c r="L145" s="53">
        <f t="shared" si="23"/>
        <v>22473759.905489575</v>
      </c>
      <c r="M145" s="37"/>
      <c r="P145"/>
    </row>
    <row r="146" spans="1:16" x14ac:dyDescent="0.2">
      <c r="A146" s="3" t="str">
        <f t="shared" si="21"/>
        <v>202412</v>
      </c>
      <c r="B146" s="49">
        <f t="shared" si="22"/>
        <v>2024</v>
      </c>
      <c r="C146" s="52">
        <v>45657</v>
      </c>
      <c r="D146" s="53"/>
      <c r="E146" s="201">
        <f>+Inputs!E146</f>
        <v>579.06000000000006</v>
      </c>
      <c r="F146" s="201">
        <f>+Inputs!F146</f>
        <v>0</v>
      </c>
      <c r="G146" s="53">
        <f>+Inputs!G146</f>
        <v>31</v>
      </c>
      <c r="H146" s="105">
        <f t="shared" si="24"/>
        <v>0.66666666666666663</v>
      </c>
      <c r="I146" s="53">
        <f>+Inputs!I146</f>
        <v>320</v>
      </c>
      <c r="J146" s="53">
        <f>+Inputs!J146</f>
        <v>0</v>
      </c>
      <c r="K146" s="201">
        <f>+Inputs!M146</f>
        <v>144</v>
      </c>
      <c r="L146" s="53">
        <f t="shared" si="23"/>
        <v>23824992.487829931</v>
      </c>
      <c r="M146" s="37"/>
      <c r="P146"/>
    </row>
    <row r="147" spans="1:16" x14ac:dyDescent="0.2">
      <c r="C147" s="38"/>
      <c r="G147" s="10"/>
      <c r="H147" s="106"/>
      <c r="J147" s="10"/>
      <c r="P147"/>
    </row>
    <row r="148" spans="1:16" x14ac:dyDescent="0.2">
      <c r="C148" s="38"/>
      <c r="G148" s="10"/>
      <c r="H148" s="106"/>
      <c r="J148" s="10"/>
      <c r="P148"/>
    </row>
    <row r="149" spans="1:16" x14ac:dyDescent="0.2">
      <c r="C149" s="38"/>
      <c r="E149" s="93"/>
      <c r="F149" s="67" t="s">
        <v>107</v>
      </c>
      <c r="G149" s="10"/>
      <c r="H149" s="106"/>
      <c r="J149" s="10"/>
      <c r="P149"/>
    </row>
    <row r="150" spans="1:16" x14ac:dyDescent="0.2">
      <c r="C150" s="38"/>
      <c r="E150" s="14"/>
      <c r="F150" s="66" t="s">
        <v>74</v>
      </c>
      <c r="G150" s="10"/>
      <c r="H150" s="106"/>
      <c r="J150" s="10"/>
      <c r="L150" s="37">
        <f>SUM(L2:L146)</f>
        <v>3165857586.3298173</v>
      </c>
      <c r="P150"/>
    </row>
    <row r="151" spans="1:16" x14ac:dyDescent="0.2">
      <c r="C151" s="38"/>
      <c r="G151" s="10"/>
      <c r="H151" s="106"/>
      <c r="J151" s="10"/>
      <c r="P151"/>
    </row>
    <row r="152" spans="1:16" x14ac:dyDescent="0.2">
      <c r="C152" s="29">
        <v>2013</v>
      </c>
      <c r="D152" s="6">
        <f t="shared" ref="D152:D161" si="25">SUMIF(B:B,C152,D:D)</f>
        <v>253794532.28605214</v>
      </c>
      <c r="L152" s="6">
        <f>SUM(L3:L14)</f>
        <v>251057418.86621657</v>
      </c>
      <c r="M152"/>
      <c r="N152"/>
      <c r="O152" s="5"/>
      <c r="P152"/>
    </row>
    <row r="153" spans="1:16" x14ac:dyDescent="0.2">
      <c r="C153" s="29">
        <v>2014</v>
      </c>
      <c r="D153" s="6">
        <f t="shared" si="25"/>
        <v>256463675.28359121</v>
      </c>
      <c r="L153" s="6">
        <f>SUM(L15:L26)</f>
        <v>253261286.00769246</v>
      </c>
      <c r="M153"/>
      <c r="N153"/>
      <c r="O153" s="5"/>
      <c r="P153"/>
    </row>
    <row r="154" spans="1:16" x14ac:dyDescent="0.2">
      <c r="C154" s="29">
        <v>2015</v>
      </c>
      <c r="D154" s="6">
        <f t="shared" si="25"/>
        <v>256374688.63650927</v>
      </c>
      <c r="L154" s="6">
        <f>SUM(L27:L38)</f>
        <v>255606326.81527585</v>
      </c>
      <c r="M154"/>
      <c r="N154"/>
      <c r="O154" s="5"/>
      <c r="P154"/>
    </row>
    <row r="155" spans="1:16" x14ac:dyDescent="0.2">
      <c r="C155" s="29">
        <v>2016</v>
      </c>
      <c r="D155" s="6">
        <f t="shared" si="25"/>
        <v>259210018.63999999</v>
      </c>
      <c r="L155" s="6">
        <f>SUM(L39:L50)</f>
        <v>261704642.09960899</v>
      </c>
      <c r="M155"/>
      <c r="N155"/>
      <c r="O155" s="5"/>
      <c r="P155"/>
    </row>
    <row r="156" spans="1:16" x14ac:dyDescent="0.2">
      <c r="C156" s="29">
        <v>2017</v>
      </c>
      <c r="D156" s="6">
        <f t="shared" si="25"/>
        <v>254048366.90000001</v>
      </c>
      <c r="L156" s="6">
        <f>SUM(L51:L62)</f>
        <v>258277666.21120611</v>
      </c>
      <c r="M156"/>
      <c r="N156"/>
      <c r="O156" s="5"/>
      <c r="P156"/>
    </row>
    <row r="157" spans="1:16" x14ac:dyDescent="0.2">
      <c r="C157" s="29">
        <v>2018</v>
      </c>
      <c r="D157" s="6">
        <f t="shared" si="25"/>
        <v>266473255.97205046</v>
      </c>
      <c r="L157" s="6">
        <f>SUM(L63:L74)</f>
        <v>266218412.34054422</v>
      </c>
      <c r="M157"/>
      <c r="N157"/>
      <c r="O157" s="5"/>
      <c r="P157"/>
    </row>
    <row r="158" spans="1:16" x14ac:dyDescent="0.2">
      <c r="C158" s="29">
        <v>2019</v>
      </c>
      <c r="D158" s="6">
        <f t="shared" si="25"/>
        <v>261985353.56</v>
      </c>
      <c r="L158" s="6">
        <f>SUM(L75:L86)</f>
        <v>265019257.76105964</v>
      </c>
      <c r="M158"/>
      <c r="N158"/>
      <c r="O158" s="5"/>
      <c r="P158"/>
    </row>
    <row r="159" spans="1:16" x14ac:dyDescent="0.2">
      <c r="C159" s="29">
        <v>2020</v>
      </c>
      <c r="D159" s="6">
        <f t="shared" si="25"/>
        <v>263490930.20000002</v>
      </c>
      <c r="L159" s="6">
        <f>SUM(L87:L98)</f>
        <v>266884948.06330311</v>
      </c>
      <c r="M159"/>
      <c r="N159"/>
      <c r="O159" s="5"/>
      <c r="P159"/>
    </row>
    <row r="160" spans="1:16" x14ac:dyDescent="0.2">
      <c r="C160" s="29">
        <v>2021</v>
      </c>
      <c r="D160" s="6">
        <f t="shared" si="25"/>
        <v>268727921.99999994</v>
      </c>
      <c r="L160" s="6">
        <f>SUM(L99:L110)</f>
        <v>268938534.64931339</v>
      </c>
      <c r="M160"/>
      <c r="N160"/>
      <c r="O160" s="5"/>
      <c r="P160"/>
    </row>
    <row r="161" spans="3:18" x14ac:dyDescent="0.2">
      <c r="C161" s="29">
        <v>2022</v>
      </c>
      <c r="D161" s="6">
        <f t="shared" si="25"/>
        <v>275958139.94408911</v>
      </c>
      <c r="L161" s="6">
        <f>SUM(L111:L122)</f>
        <v>272212819.34678811</v>
      </c>
      <c r="M161"/>
      <c r="N161"/>
      <c r="O161" s="5"/>
      <c r="P161"/>
    </row>
    <row r="162" spans="3:18" x14ac:dyDescent="0.2">
      <c r="C162" s="29">
        <v>2023</v>
      </c>
      <c r="D162" s="6">
        <f>SUM(D123:D131,L132:L134)</f>
        <v>272641452.31127304</v>
      </c>
      <c r="L162" s="16">
        <f>SUM(L123:L134)</f>
        <v>270006354.93255472</v>
      </c>
      <c r="M162"/>
      <c r="N162"/>
      <c r="O162" s="5"/>
      <c r="P162"/>
    </row>
    <row r="163" spans="3:18" x14ac:dyDescent="0.2">
      <c r="C163" s="29">
        <v>2024</v>
      </c>
      <c r="K163" s="6"/>
      <c r="L163" s="16">
        <f>SUM(L135:L146)</f>
        <v>276669919.23625523</v>
      </c>
      <c r="M163" s="26"/>
      <c r="N163" s="5"/>
      <c r="O163" s="5"/>
      <c r="P163"/>
      <c r="Q163" s="6"/>
      <c r="R163" s="40"/>
    </row>
    <row r="164" spans="3:18" x14ac:dyDescent="0.2">
      <c r="L164" s="6"/>
      <c r="P164"/>
      <c r="Q164" s="6"/>
      <c r="R164" s="40"/>
    </row>
    <row r="165" spans="3:18" x14ac:dyDescent="0.2">
      <c r="C165" s="46" t="s">
        <v>11</v>
      </c>
      <c r="D165" s="6">
        <f>SUM(D152:D162)</f>
        <v>2889168335.7335649</v>
      </c>
      <c r="L165" s="6">
        <f>SUM(L152:L162)</f>
        <v>2889187667.0935631</v>
      </c>
      <c r="M165" s="37">
        <f>L165-D165</f>
        <v>19331.359998226166</v>
      </c>
      <c r="N165" s="1" t="s">
        <v>145</v>
      </c>
      <c r="P165" s="5"/>
      <c r="Q165" s="6"/>
      <c r="R165" s="40"/>
    </row>
    <row r="166" spans="3:18" x14ac:dyDescent="0.2">
      <c r="P166" s="5"/>
      <c r="Q166" s="6"/>
      <c r="R166" s="40"/>
    </row>
    <row r="167" spans="3:18" x14ac:dyDescent="0.2">
      <c r="L167" s="6">
        <f>SUM(L152:L163)</f>
        <v>3165857586.3298182</v>
      </c>
      <c r="M167" s="37">
        <f>L150-L167</f>
        <v>0</v>
      </c>
      <c r="P167" s="5"/>
      <c r="Q167" s="6"/>
      <c r="R167" s="40"/>
    </row>
    <row r="168" spans="3:18" x14ac:dyDescent="0.2">
      <c r="K168" s="248"/>
      <c r="L168" s="248"/>
      <c r="M168" s="248"/>
      <c r="N168"/>
      <c r="O168"/>
      <c r="P168" s="5"/>
      <c r="Q168" s="6"/>
      <c r="R168" s="40"/>
    </row>
    <row r="169" spans="3:18" x14ac:dyDescent="0.2">
      <c r="P169" s="6"/>
      <c r="Q169" s="6"/>
      <c r="R169" s="40"/>
    </row>
    <row r="170" spans="3:18" x14ac:dyDescent="0.2">
      <c r="P170" s="6"/>
      <c r="Q170" s="6"/>
      <c r="R170" s="40"/>
    </row>
    <row r="171" spans="3:18" x14ac:dyDescent="0.2">
      <c r="C171"/>
      <c r="D171"/>
      <c r="E171"/>
      <c r="F171"/>
      <c r="G171"/>
      <c r="I171"/>
      <c r="J171"/>
      <c r="K171"/>
      <c r="L171"/>
      <c r="M171"/>
    </row>
    <row r="172" spans="3:18" x14ac:dyDescent="0.2">
      <c r="C172"/>
      <c r="D172"/>
      <c r="E172"/>
      <c r="F172"/>
      <c r="G172"/>
      <c r="I172"/>
      <c r="J172"/>
      <c r="K172"/>
      <c r="L172"/>
      <c r="M172"/>
    </row>
    <row r="173" spans="3:18" x14ac:dyDescent="0.2">
      <c r="C173"/>
      <c r="D173"/>
      <c r="E173"/>
      <c r="F173"/>
      <c r="G173"/>
      <c r="I173"/>
      <c r="J173"/>
      <c r="K173"/>
      <c r="L173"/>
      <c r="M173"/>
    </row>
    <row r="174" spans="3:18" x14ac:dyDescent="0.2">
      <c r="C174"/>
      <c r="D174"/>
      <c r="E174"/>
      <c r="F174"/>
      <c r="G174"/>
      <c r="I174"/>
      <c r="J174"/>
      <c r="K174"/>
      <c r="L174"/>
      <c r="M174"/>
    </row>
    <row r="175" spans="3:18" x14ac:dyDescent="0.2">
      <c r="C175"/>
      <c r="D175"/>
      <c r="E175"/>
      <c r="F175"/>
      <c r="G175"/>
      <c r="I175"/>
      <c r="J175"/>
      <c r="K175"/>
      <c r="L175"/>
      <c r="M175"/>
    </row>
    <row r="176" spans="3:18" x14ac:dyDescent="0.2">
      <c r="C176"/>
      <c r="D176"/>
      <c r="E176"/>
      <c r="F176"/>
      <c r="G176"/>
      <c r="I176"/>
      <c r="J176"/>
      <c r="K176"/>
      <c r="L176"/>
      <c r="M176"/>
    </row>
    <row r="177" spans="3:16" x14ac:dyDescent="0.2">
      <c r="C177"/>
      <c r="D177"/>
      <c r="E177"/>
      <c r="F177"/>
      <c r="G177"/>
      <c r="I177"/>
      <c r="J177"/>
      <c r="K177"/>
      <c r="L177"/>
      <c r="M177"/>
    </row>
    <row r="178" spans="3:16" x14ac:dyDescent="0.2">
      <c r="C178"/>
      <c r="D178"/>
      <c r="E178"/>
      <c r="F178"/>
      <c r="G178"/>
      <c r="I178"/>
      <c r="J178"/>
      <c r="K178"/>
      <c r="L178"/>
      <c r="M178"/>
    </row>
    <row r="179" spans="3:16" x14ac:dyDescent="0.2">
      <c r="C179"/>
      <c r="D179"/>
      <c r="E179"/>
      <c r="F179"/>
      <c r="G179"/>
      <c r="I179"/>
      <c r="J179"/>
      <c r="K179"/>
      <c r="L179"/>
      <c r="M179"/>
      <c r="N179"/>
      <c r="O179"/>
      <c r="P179"/>
    </row>
    <row r="180" spans="3:16" x14ac:dyDescent="0.2">
      <c r="C180"/>
      <c r="D180"/>
      <c r="E180"/>
      <c r="F180"/>
      <c r="G180"/>
      <c r="I180"/>
      <c r="J180"/>
      <c r="K180"/>
      <c r="L180"/>
      <c r="M180"/>
      <c r="N180"/>
      <c r="O180"/>
      <c r="P180"/>
    </row>
    <row r="181" spans="3:16" x14ac:dyDescent="0.2">
      <c r="C181"/>
      <c r="D181"/>
      <c r="E181"/>
      <c r="F181"/>
      <c r="G181"/>
      <c r="I181"/>
      <c r="J181"/>
      <c r="K181"/>
      <c r="L181"/>
      <c r="M181"/>
      <c r="N181"/>
      <c r="O181"/>
      <c r="P181"/>
    </row>
    <row r="182" spans="3:16" x14ac:dyDescent="0.2">
      <c r="C182"/>
      <c r="D182"/>
      <c r="E182"/>
      <c r="F182"/>
      <c r="G182"/>
      <c r="I182"/>
      <c r="J182"/>
      <c r="K182"/>
      <c r="L182"/>
      <c r="M182"/>
      <c r="N182"/>
      <c r="O182"/>
      <c r="P182"/>
    </row>
    <row r="183" spans="3:16" x14ac:dyDescent="0.2">
      <c r="C183"/>
      <c r="D183"/>
      <c r="E183"/>
      <c r="F183"/>
      <c r="G183"/>
      <c r="I183"/>
      <c r="J183"/>
      <c r="K183"/>
      <c r="L183"/>
      <c r="M183"/>
      <c r="N183"/>
      <c r="O183"/>
      <c r="P183"/>
    </row>
    <row r="184" spans="3:16" x14ac:dyDescent="0.2">
      <c r="C184"/>
      <c r="N184"/>
      <c r="O184"/>
      <c r="P184"/>
    </row>
    <row r="185" spans="3:16" x14ac:dyDescent="0.2">
      <c r="C185"/>
      <c r="N185"/>
      <c r="O185"/>
      <c r="P185"/>
    </row>
    <row r="186" spans="3:16" x14ac:dyDescent="0.2">
      <c r="C186"/>
      <c r="N186"/>
      <c r="O186"/>
      <c r="P186"/>
    </row>
    <row r="187" spans="3:16" x14ac:dyDescent="0.2">
      <c r="C187"/>
      <c r="N187"/>
      <c r="O187"/>
      <c r="P187"/>
    </row>
    <row r="188" spans="3:16" x14ac:dyDescent="0.2">
      <c r="C188"/>
      <c r="N188"/>
      <c r="O188"/>
      <c r="P188"/>
    </row>
    <row r="189" spans="3:16" x14ac:dyDescent="0.2">
      <c r="C189"/>
      <c r="N189"/>
      <c r="O189"/>
      <c r="P189"/>
    </row>
    <row r="190" spans="3:16" x14ac:dyDescent="0.2">
      <c r="C190"/>
      <c r="N190"/>
      <c r="O190"/>
      <c r="P190"/>
    </row>
    <row r="191" spans="3:16" x14ac:dyDescent="0.2">
      <c r="C191"/>
      <c r="N191"/>
      <c r="O191"/>
      <c r="P191"/>
    </row>
    <row r="192" spans="3:16" x14ac:dyDescent="0.2">
      <c r="C192"/>
      <c r="N192"/>
      <c r="O192"/>
      <c r="P192"/>
    </row>
    <row r="193" spans="3:16" x14ac:dyDescent="0.2">
      <c r="C193"/>
      <c r="N193"/>
      <c r="O193"/>
      <c r="P193"/>
    </row>
    <row r="194" spans="3:16" x14ac:dyDescent="0.2">
      <c r="C194"/>
      <c r="N194"/>
      <c r="O194"/>
      <c r="P194"/>
    </row>
    <row r="195" spans="3:16" customFormat="1" x14ac:dyDescent="0.2">
      <c r="H195" s="103"/>
    </row>
    <row r="196" spans="3:16" customFormat="1" x14ac:dyDescent="0.2">
      <c r="H196" s="103"/>
    </row>
  </sheetData>
  <mergeCells count="1">
    <mergeCell ref="K168:M168"/>
  </mergeCells>
  <printOptions gridLines="1"/>
  <pageMargins left="0.38" right="0.75" top="0.73" bottom="0.74" header="0.5" footer="0.5"/>
  <pageSetup scale="23" orientation="landscape" r:id="rId1"/>
  <headerFooter alignWithMargins="0">
    <oddFooter>&amp;L&amp;Z&amp;F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pageSetUpPr fitToPage="1"/>
  </sheetPr>
  <dimension ref="A1:U62"/>
  <sheetViews>
    <sheetView zoomScale="93" zoomScaleNormal="93" workbookViewId="0">
      <pane xSplit="2" ySplit="2" topLeftCell="C3" activePane="bottomRight" state="frozen"/>
      <selection activeCell="A170" sqref="A170:XFD185"/>
      <selection pane="topRight" activeCell="A170" sqref="A170:XFD185"/>
      <selection pane="bottomLeft" activeCell="A170" sqref="A170:XFD185"/>
      <selection pane="bottomRight" activeCell="H11" sqref="H11:M11"/>
    </sheetView>
  </sheetViews>
  <sheetFormatPr defaultRowHeight="12.75" x14ac:dyDescent="0.2"/>
  <cols>
    <col min="1" max="1" width="21.5703125" customWidth="1"/>
    <col min="2" max="5" width="18" style="1" customWidth="1"/>
    <col min="6" max="6" width="31.85546875" style="1" customWidth="1"/>
    <col min="7" max="7" width="15.5703125" style="6" customWidth="1"/>
    <col min="8" max="8" width="15" style="6" customWidth="1"/>
    <col min="9" max="10" width="14.140625" style="6" bestFit="1" customWidth="1"/>
    <col min="11" max="11" width="11.42578125" style="6" customWidth="1"/>
    <col min="12" max="12" width="12.42578125" style="6" customWidth="1"/>
    <col min="13" max="13" width="16.85546875" style="6" bestFit="1" customWidth="1"/>
    <col min="14" max="15" width="16.85546875" customWidth="1"/>
    <col min="16" max="16" width="14.42578125" customWidth="1"/>
    <col min="17" max="17" width="12.5703125" bestFit="1" customWidth="1"/>
    <col min="18" max="18" width="11.5703125" bestFit="1" customWidth="1"/>
    <col min="19" max="19" width="14" customWidth="1"/>
    <col min="20" max="20" width="10.140625" bestFit="1" customWidth="1"/>
    <col min="21" max="21" width="12.5703125" style="6" bestFit="1" customWidth="1"/>
  </cols>
  <sheetData>
    <row r="1" spans="1:21" x14ac:dyDescent="0.2">
      <c r="G1" s="108" t="s">
        <v>260</v>
      </c>
    </row>
    <row r="2" spans="1:21" ht="25.5" x14ac:dyDescent="0.2">
      <c r="B2" s="2" t="s">
        <v>8</v>
      </c>
      <c r="C2" s="2" t="s">
        <v>9</v>
      </c>
      <c r="D2" s="2" t="s">
        <v>40</v>
      </c>
      <c r="E2" s="2" t="s">
        <v>10</v>
      </c>
      <c r="F2" s="2" t="s">
        <v>0</v>
      </c>
      <c r="G2" s="7" t="s">
        <v>3</v>
      </c>
      <c r="H2" s="34" t="s">
        <v>1</v>
      </c>
      <c r="I2" s="35" t="s">
        <v>56</v>
      </c>
      <c r="J2" s="51" t="s">
        <v>57</v>
      </c>
      <c r="K2" s="36" t="s">
        <v>59</v>
      </c>
      <c r="L2" s="36" t="s">
        <v>68</v>
      </c>
      <c r="M2" s="36" t="s">
        <v>2</v>
      </c>
    </row>
    <row r="3" spans="1:21" x14ac:dyDescent="0.2">
      <c r="A3">
        <v>2013</v>
      </c>
      <c r="B3" s="108">
        <f>+'Purchased Power Model'!D152</f>
        <v>253794532.28605214</v>
      </c>
      <c r="C3" s="108">
        <f>+'Purchased Power Model'!L152</f>
        <v>251057418.86621657</v>
      </c>
      <c r="D3" s="26">
        <f t="shared" ref="D3:D12" si="0">C3-B3</f>
        <v>-2737113.4198355675</v>
      </c>
      <c r="E3" s="5">
        <f t="shared" ref="E3:E12" si="1">D3/B3</f>
        <v>-1.0784761181342408E-2</v>
      </c>
      <c r="F3" s="18">
        <f>1 +(B3-G3)/G3</f>
        <v>1.0324640457994698</v>
      </c>
      <c r="G3" s="6">
        <f t="shared" ref="G3:G12" si="2">SUM(H3:M3)</f>
        <v>245814402.27250811</v>
      </c>
      <c r="H3" s="42">
        <f>SUMIF(Inputs!B:B,'Rate Class Energy Model'!A3,Inputs!P:P)</f>
        <v>86202261.746603757</v>
      </c>
      <c r="I3" s="42">
        <f>SUMIF(Inputs!B:B,'Rate Class Energy Model'!A3,Inputs!R:R)</f>
        <v>36449901.791789994</v>
      </c>
      <c r="J3" s="42">
        <f>SUMIF(Inputs!B:B,'Rate Class Energy Model'!A3,Inputs!T:T)</f>
        <v>120958839.52983999</v>
      </c>
      <c r="K3" s="42">
        <f>SUMIF(Inputs!B:B,'Rate Class Energy Model'!A3,Inputs!W:W)</f>
        <v>1712978.1604808702</v>
      </c>
      <c r="L3" s="42">
        <f>SUMIF(Inputs!B:B,'Rate Class Energy Model'!A3,Inputs!Z:Z)</f>
        <v>106011.51098813729</v>
      </c>
      <c r="M3" s="42">
        <f>SUMIF(Inputs!B:B,'Rate Class Energy Model'!A3,Inputs!AC:AC)</f>
        <v>384409.53280539409</v>
      </c>
      <c r="N3" s="40">
        <f>+B3-G3</f>
        <v>7980130.013544023</v>
      </c>
    </row>
    <row r="4" spans="1:21" x14ac:dyDescent="0.2">
      <c r="A4">
        <v>2014</v>
      </c>
      <c r="B4" s="108">
        <f>+'Purchased Power Model'!D153</f>
        <v>256463675.28359121</v>
      </c>
      <c r="C4" s="108">
        <f>+'Purchased Power Model'!L153</f>
        <v>253261286.00769246</v>
      </c>
      <c r="D4" s="26">
        <f t="shared" si="0"/>
        <v>-3202389.2758987546</v>
      </c>
      <c r="E4" s="5">
        <f t="shared" si="1"/>
        <v>-1.2486716773272595E-2</v>
      </c>
      <c r="F4" s="18">
        <f t="shared" ref="F4" si="3">1 +(B4-G4)/G4</f>
        <v>1.0359940528387548</v>
      </c>
      <c r="G4" s="6">
        <f t="shared" si="2"/>
        <v>247553231.19939566</v>
      </c>
      <c r="H4" s="42">
        <f>SUMIF(Inputs!B:B,'Rate Class Energy Model'!A4,Inputs!P:P)</f>
        <v>85816558.384570569</v>
      </c>
      <c r="I4" s="42">
        <f>SUMIF(Inputs!B:B,'Rate Class Energy Model'!A4,Inputs!R:R)</f>
        <v>35415553.049546637</v>
      </c>
      <c r="J4" s="42">
        <f>SUMIF(Inputs!B:B,'Rate Class Energy Model'!A4,Inputs!T:T)</f>
        <v>124098101.67349331</v>
      </c>
      <c r="K4" s="42">
        <f>SUMIF(Inputs!B:B,'Rate Class Energy Model'!A4,Inputs!W:W)</f>
        <v>1731641.5322965365</v>
      </c>
      <c r="L4" s="42">
        <f>SUMIF(Inputs!B:B,'Rate Class Energy Model'!A4,Inputs!Z:Z)</f>
        <v>105133.19775921054</v>
      </c>
      <c r="M4" s="42">
        <f>SUMIF(Inputs!B:B,'Rate Class Energy Model'!A4,Inputs!AC:AC)</f>
        <v>386243.36172938795</v>
      </c>
      <c r="N4" s="40">
        <f t="shared" ref="N4:N13" si="4">+B4-G4</f>
        <v>8910444.0841955543</v>
      </c>
    </row>
    <row r="5" spans="1:21" x14ac:dyDescent="0.2">
      <c r="A5" s="49">
        <f>+A4+1</f>
        <v>2015</v>
      </c>
      <c r="B5" s="108">
        <f>+'Purchased Power Model'!D154</f>
        <v>256374688.63650927</v>
      </c>
      <c r="C5" s="108">
        <f>+'Purchased Power Model'!L154</f>
        <v>255606326.81527585</v>
      </c>
      <c r="D5" s="26">
        <f t="shared" si="0"/>
        <v>-768361.82123342156</v>
      </c>
      <c r="E5" s="5">
        <f t="shared" si="1"/>
        <v>-2.9970268333424015E-3</v>
      </c>
      <c r="F5" s="18">
        <f>1 +(B5-G5)/G5</f>
        <v>1.0354840476404072</v>
      </c>
      <c r="G5" s="6">
        <f t="shared" si="2"/>
        <v>247589220.92592254</v>
      </c>
      <c r="H5" s="42">
        <f>SUMIF(Inputs!B:B,'Rate Class Energy Model'!A5,Inputs!P:P)</f>
        <v>85926418.71876052</v>
      </c>
      <c r="I5" s="42">
        <f>SUMIF(Inputs!B:B,'Rate Class Energy Model'!A5,Inputs!R:R)</f>
        <v>34168176.853738427</v>
      </c>
      <c r="J5" s="42">
        <f>SUMIF(Inputs!B:B,'Rate Class Energy Model'!A5,Inputs!T:T)</f>
        <v>125378255.77477828</v>
      </c>
      <c r="K5" s="42">
        <f>SUMIF(Inputs!B:B,'Rate Class Energy Model'!A5,Inputs!W:W)</f>
        <v>1629825.7799828262</v>
      </c>
      <c r="L5" s="42">
        <f>SUMIF(Inputs!B:B,'Rate Class Energy Model'!A5,Inputs!Z:Z)</f>
        <v>104029.99681696936</v>
      </c>
      <c r="M5" s="42">
        <f>SUMIF(Inputs!B:B,'Rate Class Energy Model'!A5,Inputs!AC:AC)</f>
        <v>382513.80184551654</v>
      </c>
      <c r="N5" s="40">
        <f t="shared" si="4"/>
        <v>8785467.7105867267</v>
      </c>
    </row>
    <row r="6" spans="1:21" x14ac:dyDescent="0.2">
      <c r="A6" s="49">
        <f t="shared" ref="A6:A15" si="5">+A5+1</f>
        <v>2016</v>
      </c>
      <c r="B6" s="108">
        <f>+'Purchased Power Model'!D155</f>
        <v>259210018.63999999</v>
      </c>
      <c r="C6" s="108">
        <f>+'Purchased Power Model'!L155</f>
        <v>261704642.09960899</v>
      </c>
      <c r="D6" s="26">
        <f t="shared" si="0"/>
        <v>2494623.4596090019</v>
      </c>
      <c r="E6" s="5">
        <f t="shared" si="1"/>
        <v>9.6239469164717088E-3</v>
      </c>
      <c r="F6" s="18">
        <f t="shared" ref="F6:F12" si="6">1 +(B6-G6)/G6</f>
        <v>1.0379345082941605</v>
      </c>
      <c r="G6" s="6">
        <f t="shared" si="2"/>
        <v>249736391.42802006</v>
      </c>
      <c r="H6" s="42">
        <f>SUMIF(Inputs!B:B,'Rate Class Energy Model'!A6,Inputs!P:P)</f>
        <v>86214190.382619157</v>
      </c>
      <c r="I6" s="42">
        <f>SUMIF(Inputs!B:B,'Rate Class Energy Model'!A6,Inputs!R:R)</f>
        <v>34455638.026827835</v>
      </c>
      <c r="J6" s="42">
        <f>SUMIF(Inputs!B:B,'Rate Class Energy Model'!A6,Inputs!T:T)</f>
        <v>127668955.87607671</v>
      </c>
      <c r="K6" s="42">
        <f>SUMIF(Inputs!B:B,'Rate Class Energy Model'!A6,Inputs!W:W)</f>
        <v>890659.09741436888</v>
      </c>
      <c r="L6" s="42">
        <f>SUMIF(Inputs!B:B,'Rate Class Energy Model'!A6,Inputs!Z:Z)</f>
        <v>105564.9286945004</v>
      </c>
      <c r="M6" s="42">
        <f>SUMIF(Inputs!B:B,'Rate Class Energy Model'!A6,Inputs!AC:AC)</f>
        <v>401383.11638747668</v>
      </c>
      <c r="N6" s="40">
        <f t="shared" si="4"/>
        <v>9473627.2119799256</v>
      </c>
    </row>
    <row r="7" spans="1:21" x14ac:dyDescent="0.2">
      <c r="A7" s="49">
        <f t="shared" si="5"/>
        <v>2017</v>
      </c>
      <c r="B7" s="108">
        <f>+'Purchased Power Model'!D156</f>
        <v>254048366.90000001</v>
      </c>
      <c r="C7" s="108">
        <f>+'Purchased Power Model'!L156</f>
        <v>258277666.21120611</v>
      </c>
      <c r="D7" s="26">
        <f t="shared" si="0"/>
        <v>4229299.3112061024</v>
      </c>
      <c r="E7" s="5">
        <f t="shared" si="1"/>
        <v>1.6647614636589512E-2</v>
      </c>
      <c r="F7" s="18">
        <f t="shared" si="6"/>
        <v>1.0338333014564578</v>
      </c>
      <c r="G7" s="6">
        <f t="shared" si="2"/>
        <v>245734362.14726132</v>
      </c>
      <c r="H7" s="42">
        <f>SUMIF(Inputs!B:B,'Rate Class Energy Model'!A7,Inputs!P:P)</f>
        <v>83878663.289841563</v>
      </c>
      <c r="I7" s="42">
        <f>SUMIF(Inputs!B:B,'Rate Class Energy Model'!A7,Inputs!R:R)</f>
        <v>34387085.601475</v>
      </c>
      <c r="J7" s="42">
        <f>SUMIF(Inputs!B:B,'Rate Class Energy Model'!A7,Inputs!T:T)</f>
        <v>126121327.86469257</v>
      </c>
      <c r="K7" s="42">
        <f>SUMIF(Inputs!B:B,'Rate Class Energy Model'!A7,Inputs!W:W)</f>
        <v>863294.61883408076</v>
      </c>
      <c r="L7" s="42">
        <f>SUMIF(Inputs!B:B,'Rate Class Energy Model'!A7,Inputs!Z:Z)</f>
        <v>103381.18500143119</v>
      </c>
      <c r="M7" s="42">
        <f>SUMIF(Inputs!B:B,'Rate Class Energy Model'!A7,Inputs!AC:AC)</f>
        <v>380609.58741668583</v>
      </c>
      <c r="N7" s="40">
        <f t="shared" si="4"/>
        <v>8314004.7527386844</v>
      </c>
    </row>
    <row r="8" spans="1:21" x14ac:dyDescent="0.2">
      <c r="A8" s="49">
        <f t="shared" si="5"/>
        <v>2018</v>
      </c>
      <c r="B8" s="108">
        <f>+'Purchased Power Model'!D157</f>
        <v>266473255.97205046</v>
      </c>
      <c r="C8" s="108">
        <f>+'Purchased Power Model'!L157</f>
        <v>266218412.34054422</v>
      </c>
      <c r="D8" s="26">
        <f t="shared" si="0"/>
        <v>-254843.63150623441</v>
      </c>
      <c r="E8" s="5">
        <f t="shared" si="1"/>
        <v>-9.5635725460180569E-4</v>
      </c>
      <c r="F8" s="18">
        <f>1 +(B8-G8)/G8</f>
        <v>1.0328731458257139</v>
      </c>
      <c r="G8" s="6">
        <f t="shared" si="2"/>
        <v>257992239.46230364</v>
      </c>
      <c r="H8" s="42">
        <f>SUMIF(Inputs!B:B,'Rate Class Energy Model'!A8,Inputs!P:P)</f>
        <v>91709432.73716554</v>
      </c>
      <c r="I8" s="42">
        <f>SUMIF(Inputs!B:B,'Rate Class Energy Model'!A8,Inputs!R:R)</f>
        <v>35759952.621808477</v>
      </c>
      <c r="J8" s="42">
        <f>SUMIF(Inputs!B:B,'Rate Class Energy Model'!A8,Inputs!T:T)</f>
        <v>129174185.21677302</v>
      </c>
      <c r="K8" s="42">
        <f>SUMIF(Inputs!B:B,'Rate Class Energy Model'!A8,Inputs!W:W)</f>
        <v>870905.41933021648</v>
      </c>
      <c r="L8" s="42">
        <f>SUMIF(Inputs!B:B,'Rate Class Energy Model'!A8,Inputs!Z:Z)</f>
        <v>102424.28203415705</v>
      </c>
      <c r="M8" s="42">
        <f>SUMIF(Inputs!B:B,'Rate Class Energy Model'!A8,Inputs!AC:AC)</f>
        <v>375339.18519225245</v>
      </c>
      <c r="N8" s="40">
        <f t="shared" si="4"/>
        <v>8481016.5097468197</v>
      </c>
    </row>
    <row r="9" spans="1:21" x14ac:dyDescent="0.2">
      <c r="A9" s="49">
        <f t="shared" si="5"/>
        <v>2019</v>
      </c>
      <c r="B9" s="108">
        <f>+'Purchased Power Model'!D158</f>
        <v>261985353.56</v>
      </c>
      <c r="C9" s="108">
        <f>+'Purchased Power Model'!L158</f>
        <v>265019257.76105964</v>
      </c>
      <c r="D9" s="26">
        <f t="shared" si="0"/>
        <v>3033904.2010596395</v>
      </c>
      <c r="E9" s="5">
        <f t="shared" si="1"/>
        <v>1.1580434401516317E-2</v>
      </c>
      <c r="F9" s="18">
        <f t="shared" si="6"/>
        <v>1.0316841962598873</v>
      </c>
      <c r="G9" s="6">
        <f t="shared" si="2"/>
        <v>253939485.07669529</v>
      </c>
      <c r="H9" s="42">
        <f>SUMIF(Inputs!B:B,'Rate Class Energy Model'!A9,Inputs!P:P)</f>
        <v>89180443.270875081</v>
      </c>
      <c r="I9" s="42">
        <f>SUMIF(Inputs!B:B,'Rate Class Energy Model'!A9,Inputs!R:R)</f>
        <v>34942744.746606827</v>
      </c>
      <c r="J9" s="42">
        <f>SUMIF(Inputs!B:B,'Rate Class Energy Model'!A9,Inputs!T:T)</f>
        <v>128454739.12581007</v>
      </c>
      <c r="K9" s="42">
        <f>SUMIF(Inputs!B:B,'Rate Class Energy Model'!A9,Inputs!W:W)</f>
        <v>883464.17326590978</v>
      </c>
      <c r="L9" s="42">
        <f>SUMIF(Inputs!B:B,'Rate Class Energy Model'!A9,Inputs!Z:Z)</f>
        <v>102754.57494513884</v>
      </c>
      <c r="M9" s="42">
        <f>SUMIF(Inputs!B:B,'Rate Class Energy Model'!A9,Inputs!AC:AC)</f>
        <v>375339.18519225245</v>
      </c>
      <c r="N9" s="40">
        <f t="shared" si="4"/>
        <v>8045868.4833047092</v>
      </c>
    </row>
    <row r="10" spans="1:21" x14ac:dyDescent="0.2">
      <c r="A10" s="49">
        <f t="shared" si="5"/>
        <v>2020</v>
      </c>
      <c r="B10" s="108">
        <f>+'Purchased Power Model'!D159</f>
        <v>263490930.20000002</v>
      </c>
      <c r="C10" s="108">
        <f>+'Purchased Power Model'!L159</f>
        <v>266884948.06330311</v>
      </c>
      <c r="D10" s="26">
        <f t="shared" si="0"/>
        <v>3394017.8633030951</v>
      </c>
      <c r="E10" s="5">
        <f t="shared" si="1"/>
        <v>1.2880966569615513E-2</v>
      </c>
      <c r="F10" s="18">
        <f t="shared" si="6"/>
        <v>1.0303146805013941</v>
      </c>
      <c r="G10" s="6">
        <f t="shared" si="2"/>
        <v>255738305.18630907</v>
      </c>
      <c r="H10" s="42">
        <f>SUMIF(Inputs!B:B,'Rate Class Energy Model'!A10,Inputs!P:P)</f>
        <v>95587067.984431669</v>
      </c>
      <c r="I10" s="42">
        <f>SUMIF(Inputs!B:B,'Rate Class Energy Model'!A10,Inputs!R:R)</f>
        <v>33629605.964253612</v>
      </c>
      <c r="J10" s="42">
        <f>SUMIF(Inputs!B:B,'Rate Class Energy Model'!A10,Inputs!T:T)</f>
        <v>125161845.88317287</v>
      </c>
      <c r="K10" s="42">
        <f>SUMIF(Inputs!B:B,'Rate Class Energy Model'!A10,Inputs!W:W)</f>
        <v>881690.64974716154</v>
      </c>
      <c r="L10" s="42">
        <f>SUMIF(Inputs!B:B,'Rate Class Energy Model'!A10,Inputs!Z:Z)</f>
        <v>102755.519511497</v>
      </c>
      <c r="M10" s="42">
        <f>SUMIF(Inputs!B:B,'Rate Class Energy Model'!A10,Inputs!AC:AC)</f>
        <v>375339.18519225245</v>
      </c>
      <c r="N10" s="40">
        <f t="shared" si="4"/>
        <v>7752625.0136909485</v>
      </c>
    </row>
    <row r="11" spans="1:21" x14ac:dyDescent="0.2">
      <c r="A11" s="49">
        <f t="shared" si="5"/>
        <v>2021</v>
      </c>
      <c r="B11" s="108">
        <f>+'Purchased Power Model'!D160</f>
        <v>268727921.99999994</v>
      </c>
      <c r="C11" s="108">
        <f>+'Purchased Power Model'!L160</f>
        <v>268938534.64931339</v>
      </c>
      <c r="D11" s="26">
        <f t="shared" si="0"/>
        <v>210612.64931344986</v>
      </c>
      <c r="E11" s="5">
        <f t="shared" si="1"/>
        <v>7.8373935892471166E-4</v>
      </c>
      <c r="F11" s="18">
        <f>1 +(B11-G11)/G11</f>
        <v>1.0306815415721391</v>
      </c>
      <c r="G11" s="6">
        <f t="shared" si="2"/>
        <v>260728373.56735688</v>
      </c>
      <c r="H11" s="42">
        <f>SUMIF(Inputs!B:B,'Rate Class Energy Model'!A11,Inputs!P:P)</f>
        <v>95087325.556198344</v>
      </c>
      <c r="I11" s="42">
        <f>SUMIF(Inputs!B:B,'Rate Class Energy Model'!A11,Inputs!R:R)</f>
        <v>33533529.262311421</v>
      </c>
      <c r="J11" s="42">
        <f>SUMIF(Inputs!B:B,'Rate Class Energy Model'!A11,Inputs!T:T)</f>
        <v>130759586.91982318</v>
      </c>
      <c r="K11" s="42">
        <f>SUMIF(Inputs!B:B,'Rate Class Energy Model'!A11,Inputs!W:W)</f>
        <v>870117.8322679135</v>
      </c>
      <c r="L11" s="42">
        <f>SUMIF(Inputs!B:B,'Rate Class Energy Model'!A11,Inputs!Z:Z)</f>
        <v>102474.81156378207</v>
      </c>
      <c r="M11" s="42">
        <f>SUMIF(Inputs!B:B,'Rate Class Energy Model'!A11,Inputs!AC:AC)</f>
        <v>375339.18519225245</v>
      </c>
      <c r="N11" s="40">
        <f t="shared" si="4"/>
        <v>7999548.4326430559</v>
      </c>
    </row>
    <row r="12" spans="1:21" x14ac:dyDescent="0.2">
      <c r="A12" s="49">
        <f t="shared" si="5"/>
        <v>2022</v>
      </c>
      <c r="B12" s="108">
        <f>+'Purchased Power Model'!D161</f>
        <v>275958139.94408911</v>
      </c>
      <c r="C12" s="108">
        <f>+'Purchased Power Model'!L161</f>
        <v>272212819.34678811</v>
      </c>
      <c r="D12" s="26">
        <f t="shared" si="0"/>
        <v>-3745320.5973010063</v>
      </c>
      <c r="E12" s="5">
        <f t="shared" si="1"/>
        <v>-1.3572060596073854E-2</v>
      </c>
      <c r="F12" s="18">
        <f t="shared" si="6"/>
        <v>1.0292454257237624</v>
      </c>
      <c r="G12" s="6">
        <f t="shared" si="2"/>
        <v>268116945.72267458</v>
      </c>
      <c r="H12" s="42">
        <f>SUMIF(Inputs!B:B,'Rate Class Energy Model'!A12,Inputs!P:P)</f>
        <v>95371627.720710099</v>
      </c>
      <c r="I12" s="42">
        <f>SUMIF(Inputs!B:B,'Rate Class Energy Model'!A12,Inputs!R:R)</f>
        <v>35235863.474724725</v>
      </c>
      <c r="J12" s="42">
        <f>SUMIF(Inputs!B:B,'Rate Class Energy Model'!A12,Inputs!T:T)</f>
        <v>136159366.09102184</v>
      </c>
      <c r="K12" s="42">
        <f>SUMIF(Inputs!B:B,'Rate Class Energy Model'!A12,Inputs!W:W)</f>
        <v>875006.27802690573</v>
      </c>
      <c r="L12" s="42">
        <f>SUMIF(Inputs!B:B,'Rate Class Energy Model'!A12,Inputs!Z:Z)</f>
        <v>99742.972998759651</v>
      </c>
      <c r="M12" s="42">
        <f>SUMIF(Inputs!B:B,'Rate Class Energy Model'!A12,Inputs!AC:AC)</f>
        <v>375339.18519225251</v>
      </c>
      <c r="N12" s="40">
        <f t="shared" si="4"/>
        <v>7841194.2214145362</v>
      </c>
    </row>
    <row r="13" spans="1:21" x14ac:dyDescent="0.2">
      <c r="A13" s="229" t="s">
        <v>278</v>
      </c>
      <c r="B13" s="230">
        <f>SUM('Purchased Power Model'!D120:D131)</f>
        <v>272332442.66205055</v>
      </c>
      <c r="C13" s="230">
        <f>SUM('Purchased Power Model'!L120:L131)</f>
        <v>269231018.46573782</v>
      </c>
      <c r="D13" s="230">
        <f t="shared" ref="D13" si="7">C13-B13</f>
        <v>-3101424.1963127255</v>
      </c>
      <c r="E13" s="231">
        <f t="shared" ref="E13" si="8">D13/B13</f>
        <v>-1.138837578804895E-2</v>
      </c>
      <c r="F13" s="232">
        <f t="shared" ref="F13" si="9">1 +(B13-G13)/G13</f>
        <v>1.0388777186999574</v>
      </c>
      <c r="G13" s="230">
        <f t="shared" ref="G13" si="10">SUM(H13:M13)</f>
        <v>262140998.65655512</v>
      </c>
      <c r="H13" s="230">
        <f>SUM(Inputs!P120:P131)</f>
        <v>92619531.241366655</v>
      </c>
      <c r="I13" s="230">
        <f>SUM(Inputs!R120:R131)</f>
        <v>34919093.891669683</v>
      </c>
      <c r="J13" s="230">
        <f>SUM(Inputs!T120:T131)</f>
        <v>133265101.75555767</v>
      </c>
      <c r="K13" s="230">
        <f>SUM(Inputs!W120:W131)</f>
        <v>866677.09188054549</v>
      </c>
      <c r="L13" s="230">
        <f>SUM(Inputs!Z120:Z131)</f>
        <v>99127.487835130218</v>
      </c>
      <c r="M13" s="230">
        <f>SUM(Inputs!AC120:AC131)</f>
        <v>371467.18824539625</v>
      </c>
      <c r="N13" s="229">
        <f t="shared" si="4"/>
        <v>10191444.005495429</v>
      </c>
      <c r="O13" s="233" t="s">
        <v>279</v>
      </c>
    </row>
    <row r="14" spans="1:21" x14ac:dyDescent="0.2">
      <c r="A14" s="49">
        <f>+A12+1</f>
        <v>2023</v>
      </c>
      <c r="B14" s="6"/>
      <c r="C14" s="16">
        <f>+'Purchased Power Model'!L162</f>
        <v>270006354.93255472</v>
      </c>
      <c r="G14" s="16">
        <f>C14/$F$17</f>
        <v>261367911.63556185</v>
      </c>
      <c r="H14"/>
      <c r="I14"/>
      <c r="J14"/>
      <c r="K14"/>
      <c r="L14"/>
      <c r="M14"/>
      <c r="N14" s="40">
        <f>+C14-G14</f>
        <v>8638443.2969928682</v>
      </c>
    </row>
    <row r="15" spans="1:21" x14ac:dyDescent="0.2">
      <c r="A15" s="49">
        <f t="shared" si="5"/>
        <v>2024</v>
      </c>
      <c r="B15" s="6"/>
      <c r="C15" s="16">
        <f>+'Purchased Power Model'!L163</f>
        <v>276669919.23625523</v>
      </c>
      <c r="G15" s="16">
        <f>C15/$F$17</f>
        <v>267818285.31859064</v>
      </c>
      <c r="H15"/>
      <c r="I15"/>
      <c r="J15"/>
      <c r="K15"/>
      <c r="L15"/>
      <c r="M15"/>
      <c r="N15" s="40">
        <f>+C15-G15</f>
        <v>8851633.9176645875</v>
      </c>
    </row>
    <row r="16" spans="1:21" s="47" customFormat="1" x14ac:dyDescent="0.2">
      <c r="B16" s="67"/>
      <c r="C16" s="67"/>
      <c r="D16" s="67"/>
      <c r="E16" s="67"/>
      <c r="F16" s="67"/>
      <c r="G16" s="108"/>
      <c r="H16" s="121"/>
      <c r="I16" s="121"/>
      <c r="J16" s="121"/>
      <c r="K16" s="121"/>
      <c r="L16" s="121"/>
      <c r="M16" s="121"/>
      <c r="U16" s="108"/>
    </row>
    <row r="17" spans="1:16" x14ac:dyDescent="0.2">
      <c r="A17" s="15" t="s">
        <v>15</v>
      </c>
      <c r="C17" s="39"/>
      <c r="D17" s="41"/>
      <c r="E17" s="67" t="s">
        <v>146</v>
      </c>
      <c r="F17" s="18">
        <f>AVERAGE(F3:F12)</f>
        <v>1.0330508945912147</v>
      </c>
      <c r="G17" s="6" t="s">
        <v>252</v>
      </c>
      <c r="H17" s="107">
        <f>+H12/H3</f>
        <v>1.1063703641681721</v>
      </c>
      <c r="I17" s="107">
        <f t="shared" ref="I17:M17" si="11">+I12/I3</f>
        <v>0.96669296054622789</v>
      </c>
      <c r="J17" s="107">
        <f t="shared" si="11"/>
        <v>1.1256669344734573</v>
      </c>
      <c r="K17" s="107">
        <f t="shared" si="11"/>
        <v>0.51080994388233913</v>
      </c>
      <c r="L17" s="107">
        <f t="shared" si="11"/>
        <v>0.94086927041272816</v>
      </c>
      <c r="M17" s="107">
        <f t="shared" si="11"/>
        <v>0.97640446752985854</v>
      </c>
    </row>
    <row r="18" spans="1:16" x14ac:dyDescent="0.2">
      <c r="C18" s="39"/>
      <c r="D18" s="41"/>
      <c r="E18" s="67" t="s">
        <v>147</v>
      </c>
      <c r="F18" s="18">
        <f>AVERAGE(F8:F12)</f>
        <v>1.0309597979765794</v>
      </c>
    </row>
    <row r="19" spans="1:16" x14ac:dyDescent="0.2">
      <c r="C19" s="39"/>
      <c r="D19" s="41"/>
    </row>
    <row r="20" spans="1:16" x14ac:dyDescent="0.2">
      <c r="A20" s="17" t="s">
        <v>17</v>
      </c>
      <c r="B20" s="11"/>
    </row>
    <row r="22" spans="1:16" x14ac:dyDescent="0.2">
      <c r="A22">
        <f>A12</f>
        <v>2022</v>
      </c>
      <c r="H22" s="6">
        <f>+H44</f>
        <v>7994.4928962157883</v>
      </c>
      <c r="I22" s="6">
        <f t="shared" ref="I22:M22" si="12">+I44</f>
        <v>30065.948676188287</v>
      </c>
      <c r="J22" s="6">
        <f t="shared" si="12"/>
        <v>1059762.2406008563</v>
      </c>
      <c r="K22" s="6">
        <f t="shared" si="12"/>
        <v>291.68770446126899</v>
      </c>
      <c r="L22" s="6">
        <f t="shared" si="12"/>
        <v>631.38527283522433</v>
      </c>
      <c r="M22" s="6">
        <f t="shared" si="12"/>
        <v>3800.175838827583</v>
      </c>
    </row>
    <row r="23" spans="1:16" x14ac:dyDescent="0.2">
      <c r="A23">
        <v>2023</v>
      </c>
      <c r="H23" s="16">
        <f>H22</f>
        <v>7994.4928962157883</v>
      </c>
      <c r="I23" s="16">
        <f t="shared" ref="I23:M24" si="13">I22</f>
        <v>30065.948676188287</v>
      </c>
      <c r="J23" s="16">
        <f t="shared" si="13"/>
        <v>1059762.2406008563</v>
      </c>
      <c r="K23" s="16">
        <f t="shared" si="13"/>
        <v>291.68770446126899</v>
      </c>
      <c r="L23" s="16">
        <f t="shared" si="13"/>
        <v>631.38527283522433</v>
      </c>
      <c r="M23" s="16">
        <f t="shared" si="13"/>
        <v>3800.175838827583</v>
      </c>
    </row>
    <row r="24" spans="1:16" x14ac:dyDescent="0.2">
      <c r="A24">
        <f>A15</f>
        <v>2024</v>
      </c>
      <c r="H24" s="16">
        <f>H23</f>
        <v>7994.4928962157883</v>
      </c>
      <c r="I24" s="16">
        <f t="shared" si="13"/>
        <v>30065.948676188287</v>
      </c>
      <c r="J24" s="16">
        <f t="shared" si="13"/>
        <v>1059762.2406008563</v>
      </c>
      <c r="K24" s="16">
        <f t="shared" si="13"/>
        <v>291.68770446126899</v>
      </c>
      <c r="L24" s="16">
        <f t="shared" si="13"/>
        <v>631.38527283522433</v>
      </c>
      <c r="M24" s="16">
        <f t="shared" si="13"/>
        <v>3800.175838827583</v>
      </c>
    </row>
    <row r="25" spans="1:16" x14ac:dyDescent="0.2">
      <c r="H25"/>
      <c r="I25"/>
      <c r="J25"/>
      <c r="K25"/>
      <c r="L25"/>
      <c r="M25"/>
    </row>
    <row r="26" spans="1:16" x14ac:dyDescent="0.2">
      <c r="D26" s="6"/>
      <c r="H26" s="19"/>
      <c r="I26" s="19"/>
      <c r="J26" s="19"/>
      <c r="K26" s="19"/>
      <c r="L26" s="19"/>
      <c r="M26" s="19"/>
    </row>
    <row r="27" spans="1:16" x14ac:dyDescent="0.2">
      <c r="A27" s="15" t="s">
        <v>43</v>
      </c>
    </row>
    <row r="28" spans="1:16" x14ac:dyDescent="0.2">
      <c r="A28" s="47">
        <v>2023</v>
      </c>
      <c r="G28" s="6">
        <f>SUM(H28:M28)</f>
        <v>262703719.44726881</v>
      </c>
      <c r="H28" s="6">
        <f>H23*'Rate Class Customer Model'!B21</f>
        <v>92837381.172788545</v>
      </c>
      <c r="I28" s="6">
        <f>I23*'Rate Class Customer Model'!C21</f>
        <v>35004280.746252216</v>
      </c>
      <c r="J28" s="6">
        <f>J23*'Rate Class Customer Model'!D21</f>
        <v>133530042.31570789</v>
      </c>
      <c r="K28" s="6">
        <f>K23*'Rate Class Customer Model'!E21</f>
        <v>864270.66831873998</v>
      </c>
      <c r="L28" s="6">
        <f>L23*'Rate Class Customer Model'!F21</f>
        <v>99127.487835130218</v>
      </c>
      <c r="M28" s="6">
        <f>M23*'Rate Class Customer Model'!G21</f>
        <v>368617.05636627553</v>
      </c>
    </row>
    <row r="29" spans="1:16" x14ac:dyDescent="0.2">
      <c r="A29" s="47">
        <v>2024</v>
      </c>
      <c r="G29" s="6">
        <f>SUM(H29:M29)</f>
        <v>263995934.76415479</v>
      </c>
      <c r="H29" s="6">
        <f>H24*'Rate Class Customer Model'!B22</f>
        <v>93859343.848021463</v>
      </c>
      <c r="I29" s="6">
        <f>I24*'Rate Class Customer Model'!C22</f>
        <v>35131563.381545722</v>
      </c>
      <c r="J29" s="6">
        <f>J24*'Rate Class Customer Model'!D22</f>
        <v>133672172.48041688</v>
      </c>
      <c r="K29" s="6">
        <f>K24*'Rate Class Customer Model'!E22</f>
        <v>867518.63090335811</v>
      </c>
      <c r="L29" s="6">
        <f>L24*'Rate Class Customer Model'!F22</f>
        <v>99190.848539410261</v>
      </c>
      <c r="M29" s="6">
        <f>M24*'Rate Class Customer Model'!G22</f>
        <v>366145.57472795661</v>
      </c>
    </row>
    <row r="31" spans="1:16" x14ac:dyDescent="0.2">
      <c r="A31" s="15" t="s">
        <v>42</v>
      </c>
      <c r="O31" s="6"/>
    </row>
    <row r="32" spans="1:16" x14ac:dyDescent="0.2">
      <c r="A32" s="47">
        <f>+A28</f>
        <v>2023</v>
      </c>
      <c r="G32" s="16">
        <f>G14</f>
        <v>261367911.63556185</v>
      </c>
      <c r="H32" s="6">
        <f>H28+H40</f>
        <v>92245274.064317778</v>
      </c>
      <c r="I32" s="6">
        <f t="shared" ref="I32:M32" si="14">I28+I40</f>
        <v>34781027.104293205</v>
      </c>
      <c r="J32" s="6">
        <f>J28+J40</f>
        <v>133009595.25443071</v>
      </c>
      <c r="K32" s="6">
        <f t="shared" si="14"/>
        <v>864270.66831873998</v>
      </c>
      <c r="L32" s="6">
        <f t="shared" si="14"/>
        <v>99127.487835130218</v>
      </c>
      <c r="M32" s="6">
        <f t="shared" si="14"/>
        <v>368617.05636627553</v>
      </c>
      <c r="N32" s="6">
        <f>SUM(H32:M32)</f>
        <v>261367911.63556185</v>
      </c>
      <c r="O32" s="6"/>
      <c r="P32" s="6"/>
    </row>
    <row r="33" spans="1:16" x14ac:dyDescent="0.2">
      <c r="A33" s="47">
        <f>+A29</f>
        <v>2024</v>
      </c>
      <c r="G33" s="16">
        <f>G15</f>
        <v>267818285.31859064</v>
      </c>
      <c r="H33" s="6">
        <f>H29+H41</f>
        <v>95562230.878257319</v>
      </c>
      <c r="I33" s="6">
        <f t="shared" ref="I33:M33" si="15">I29+I41</f>
        <v>35768954.196158841</v>
      </c>
      <c r="J33" s="6">
        <f t="shared" si="15"/>
        <v>135154245.19000375</v>
      </c>
      <c r="K33" s="6">
        <f t="shared" si="15"/>
        <v>867518.63090335811</v>
      </c>
      <c r="L33" s="6">
        <f t="shared" si="15"/>
        <v>99190.848539410261</v>
      </c>
      <c r="M33" s="6">
        <f t="shared" si="15"/>
        <v>366145.57472795661</v>
      </c>
      <c r="N33" s="6">
        <f>SUM(H33:M33)</f>
        <v>267818285.31859064</v>
      </c>
      <c r="O33" s="6"/>
      <c r="P33" s="6"/>
    </row>
    <row r="34" spans="1:16" x14ac:dyDescent="0.2">
      <c r="O34" s="6"/>
    </row>
    <row r="35" spans="1:16" x14ac:dyDescent="0.2">
      <c r="A35" t="s">
        <v>44</v>
      </c>
      <c r="H35" s="64">
        <f>(100%+J35)/2</f>
        <v>0.72</v>
      </c>
      <c r="I35" s="65">
        <f>H35</f>
        <v>0.72</v>
      </c>
      <c r="J35" s="109">
        <v>0.44</v>
      </c>
      <c r="K35" s="65">
        <v>0</v>
      </c>
      <c r="L35" s="65">
        <v>0</v>
      </c>
      <c r="M35" s="65">
        <v>0</v>
      </c>
    </row>
    <row r="36" spans="1:16" x14ac:dyDescent="0.2">
      <c r="A36" s="47">
        <f>+A32</f>
        <v>2023</v>
      </c>
      <c r="G36" s="6">
        <f>G32-G28</f>
        <v>-1335807.8117069602</v>
      </c>
      <c r="H36" s="6">
        <f>H28*H$35</f>
        <v>66842914.444407754</v>
      </c>
      <c r="I36" s="6">
        <f t="shared" ref="I36:M36" si="16">I28*I$35</f>
        <v>25203082.137301594</v>
      </c>
      <c r="J36" s="6">
        <f t="shared" si="16"/>
        <v>58753218.618911475</v>
      </c>
      <c r="K36" s="6">
        <f t="shared" si="16"/>
        <v>0</v>
      </c>
      <c r="L36" s="6">
        <f t="shared" si="16"/>
        <v>0</v>
      </c>
      <c r="M36" s="6">
        <f t="shared" si="16"/>
        <v>0</v>
      </c>
      <c r="N36" s="6">
        <f>SUM(H36:M36)</f>
        <v>150799215.20062083</v>
      </c>
    </row>
    <row r="37" spans="1:16" x14ac:dyDescent="0.2">
      <c r="A37" s="47">
        <f>+A33</f>
        <v>2024</v>
      </c>
      <c r="G37" s="6">
        <f>G33-G29</f>
        <v>3822350.5544358492</v>
      </c>
      <c r="H37" s="6">
        <f t="shared" ref="H37" si="17">H29*H$35</f>
        <v>67578727.570575446</v>
      </c>
      <c r="I37" s="6">
        <f t="shared" ref="I37:M37" si="18">I29*I$35</f>
        <v>25294725.63471292</v>
      </c>
      <c r="J37" s="6">
        <f t="shared" si="18"/>
        <v>58815755.891383424</v>
      </c>
      <c r="K37" s="6">
        <f t="shared" si="18"/>
        <v>0</v>
      </c>
      <c r="L37" s="6">
        <f t="shared" si="18"/>
        <v>0</v>
      </c>
      <c r="M37" s="6">
        <f t="shared" si="18"/>
        <v>0</v>
      </c>
      <c r="N37" s="6">
        <f>SUM(H37:M37)</f>
        <v>151689209.09667179</v>
      </c>
    </row>
    <row r="38" spans="1:16" ht="12" customHeight="1" x14ac:dyDescent="0.2"/>
    <row r="39" spans="1:16" x14ac:dyDescent="0.2">
      <c r="A39" t="s">
        <v>45</v>
      </c>
    </row>
    <row r="40" spans="1:16" x14ac:dyDescent="0.2">
      <c r="A40" s="47">
        <f>+A36</f>
        <v>2023</v>
      </c>
      <c r="G40" s="6">
        <f>SUM(H40:M40)</f>
        <v>-1335807.8117069602</v>
      </c>
      <c r="H40" s="6">
        <f>H36/$N$36*$G$36</f>
        <v>-592107.10847076273</v>
      </c>
      <c r="I40" s="6">
        <f t="shared" ref="I40:M40" si="19">I36/$N$36*$G$36</f>
        <v>-223253.64195901345</v>
      </c>
      <c r="J40" s="6">
        <f>J36/$N$36*$G$36</f>
        <v>-520447.061277184</v>
      </c>
      <c r="K40" s="6">
        <f t="shared" si="19"/>
        <v>0</v>
      </c>
      <c r="L40" s="6">
        <f t="shared" si="19"/>
        <v>0</v>
      </c>
      <c r="M40" s="6">
        <f t="shared" si="19"/>
        <v>0</v>
      </c>
    </row>
    <row r="41" spans="1:16" x14ac:dyDescent="0.2">
      <c r="A41" s="47">
        <f>+A37</f>
        <v>2024</v>
      </c>
      <c r="G41" s="6">
        <f>SUM(H41:M41)</f>
        <v>3822350.5544358492</v>
      </c>
      <c r="H41" s="6">
        <f t="shared" ref="H41:M41" si="20">H37/$N$37*$G$37</f>
        <v>1702887.0302358628</v>
      </c>
      <c r="I41" s="6">
        <f t="shared" si="20"/>
        <v>637390.81461312063</v>
      </c>
      <c r="J41" s="6">
        <f t="shared" si="20"/>
        <v>1482072.7095868657</v>
      </c>
      <c r="K41" s="6">
        <f t="shared" si="20"/>
        <v>0</v>
      </c>
      <c r="L41" s="6">
        <f t="shared" si="20"/>
        <v>0</v>
      </c>
      <c r="M41" s="6">
        <f t="shared" si="20"/>
        <v>0</v>
      </c>
    </row>
    <row r="42" spans="1:16" x14ac:dyDescent="0.2">
      <c r="G42" s="20"/>
    </row>
    <row r="43" spans="1:16" x14ac:dyDescent="0.2">
      <c r="A43" s="238" t="s">
        <v>17</v>
      </c>
      <c r="B43" s="218"/>
      <c r="C43" s="218"/>
      <c r="D43" s="218"/>
      <c r="E43" s="218"/>
      <c r="F43" s="218"/>
      <c r="G43" s="239"/>
      <c r="H43" s="219"/>
      <c r="I43" s="219"/>
      <c r="J43" s="219"/>
      <c r="K43" s="219"/>
      <c r="L43" s="219"/>
      <c r="M43" s="219"/>
      <c r="N43" s="220"/>
      <c r="O43" s="220"/>
    </row>
    <row r="44" spans="1:16" x14ac:dyDescent="0.2">
      <c r="A44" s="234" t="s">
        <v>278</v>
      </c>
      <c r="B44" s="235"/>
      <c r="C44" s="235"/>
      <c r="D44" s="235"/>
      <c r="E44" s="235"/>
      <c r="F44" s="235"/>
      <c r="G44" s="236"/>
      <c r="H44" s="236">
        <f>+H13/AVERAGE(Inputs!Q120:Q131)</f>
        <v>7994.4928962157883</v>
      </c>
      <c r="I44" s="236">
        <f>+I13/AVERAGE(Inputs!S120:S131)</f>
        <v>30065.948676188287</v>
      </c>
      <c r="J44" s="236">
        <f>+J13/AVERAGE(Inputs!V120:V131)</f>
        <v>1059762.2406008563</v>
      </c>
      <c r="K44" s="236">
        <f>+K13/AVERAGE(Inputs!Y120:Y131)</f>
        <v>291.68770446126899</v>
      </c>
      <c r="L44" s="236">
        <f>+L13/AVERAGE(Inputs!AB120:AB131)</f>
        <v>631.38527283522433</v>
      </c>
      <c r="M44" s="236">
        <f>M13/AVERAGE(Inputs!AD120:AD131)</f>
        <v>3800.175838827583</v>
      </c>
      <c r="N44" s="234"/>
      <c r="O44" s="234" t="s">
        <v>279</v>
      </c>
    </row>
    <row r="45" spans="1:16" x14ac:dyDescent="0.2">
      <c r="A45" s="220"/>
      <c r="B45" s="218"/>
      <c r="C45" s="218"/>
      <c r="D45" s="218"/>
      <c r="E45" s="218"/>
      <c r="F45" s="218"/>
      <c r="G45" s="239"/>
      <c r="H45" s="219"/>
      <c r="I45" s="219"/>
      <c r="J45" s="219"/>
      <c r="K45" s="219"/>
      <c r="L45" s="219"/>
      <c r="M45" s="219"/>
      <c r="N45" s="220"/>
      <c r="O45" s="220"/>
    </row>
    <row r="46" spans="1:16" x14ac:dyDescent="0.2">
      <c r="A46" s="217" t="s">
        <v>43</v>
      </c>
      <c r="B46" s="218"/>
      <c r="C46" s="218"/>
      <c r="D46" s="218"/>
      <c r="E46" s="218"/>
      <c r="F46" s="218"/>
      <c r="G46" s="219"/>
      <c r="H46" s="219"/>
      <c r="I46" s="219"/>
      <c r="J46" s="219"/>
      <c r="K46" s="219"/>
      <c r="L46" s="219"/>
      <c r="M46" s="219"/>
      <c r="N46" s="220"/>
      <c r="O46" s="220"/>
    </row>
    <row r="47" spans="1:16" x14ac:dyDescent="0.2">
      <c r="A47" s="221">
        <v>2024</v>
      </c>
      <c r="B47" s="218"/>
      <c r="C47" s="218"/>
      <c r="D47" s="218"/>
      <c r="E47" s="218"/>
      <c r="F47" s="218"/>
      <c r="G47" s="219">
        <f>SUM(H47:M47)</f>
        <v>263995934.76415479</v>
      </c>
      <c r="H47" s="219">
        <f>+H44*'Rate Class Customer Model'!B22</f>
        <v>93859343.848021463</v>
      </c>
      <c r="I47" s="219">
        <f>+I44*'Rate Class Customer Model'!C22</f>
        <v>35131563.381545722</v>
      </c>
      <c r="J47" s="219">
        <f>+J44*'Rate Class Customer Model'!D22</f>
        <v>133672172.48041688</v>
      </c>
      <c r="K47" s="219">
        <f>+K44*'Rate Class Customer Model'!E22</f>
        <v>867518.63090335811</v>
      </c>
      <c r="L47" s="219">
        <f>+L44*'Rate Class Customer Model'!F22</f>
        <v>99190.848539410261</v>
      </c>
      <c r="M47" s="219">
        <f>+M44*'Rate Class Customer Model'!G22</f>
        <v>366145.57472795661</v>
      </c>
      <c r="N47" s="220"/>
      <c r="O47" s="220"/>
    </row>
    <row r="48" spans="1:16" x14ac:dyDescent="0.2">
      <c r="A48" s="220"/>
      <c r="B48" s="218"/>
      <c r="C48" s="218"/>
      <c r="D48" s="218"/>
      <c r="E48" s="218"/>
      <c r="F48" s="218"/>
      <c r="G48" s="219"/>
      <c r="H48" s="219"/>
      <c r="I48" s="219"/>
      <c r="J48" s="219"/>
      <c r="K48" s="219"/>
      <c r="L48" s="219"/>
      <c r="M48" s="219"/>
      <c r="N48" s="220"/>
      <c r="O48" s="220"/>
    </row>
    <row r="49" spans="1:21" x14ac:dyDescent="0.2">
      <c r="A49" s="217" t="s">
        <v>42</v>
      </c>
      <c r="B49" s="218"/>
      <c r="C49" s="218"/>
      <c r="D49" s="218"/>
      <c r="E49" s="218"/>
      <c r="F49" s="218"/>
      <c r="G49" s="219"/>
      <c r="H49" s="219"/>
      <c r="I49" s="219"/>
      <c r="J49" s="219"/>
      <c r="K49" s="219"/>
      <c r="L49" s="219"/>
      <c r="M49" s="219"/>
      <c r="N49" s="220"/>
      <c r="O49" s="219"/>
      <c r="U49"/>
    </row>
    <row r="50" spans="1:21" x14ac:dyDescent="0.2">
      <c r="A50" s="221">
        <f>+A47</f>
        <v>2024</v>
      </c>
      <c r="B50" s="218"/>
      <c r="C50" s="218"/>
      <c r="D50" s="218"/>
      <c r="E50" s="218"/>
      <c r="F50" s="218"/>
      <c r="G50" s="219">
        <f t="shared" ref="G50:M50" si="21">G47+G56</f>
        <v>267818285.31859064</v>
      </c>
      <c r="H50" s="219">
        <f t="shared" si="21"/>
        <v>95562230.878257319</v>
      </c>
      <c r="I50" s="219">
        <f t="shared" si="21"/>
        <v>35768954.196158841</v>
      </c>
      <c r="J50" s="219">
        <f t="shared" si="21"/>
        <v>135154245.19000375</v>
      </c>
      <c r="K50" s="219">
        <f t="shared" si="21"/>
        <v>867518.63090335811</v>
      </c>
      <c r="L50" s="219">
        <f t="shared" si="21"/>
        <v>99190.848539410261</v>
      </c>
      <c r="M50" s="219">
        <f t="shared" si="21"/>
        <v>366145.57472795661</v>
      </c>
      <c r="N50" s="219">
        <f>SUM(H50:M50)</f>
        <v>267818285.31859064</v>
      </c>
      <c r="O50" s="219"/>
      <c r="U50"/>
    </row>
    <row r="51" spans="1:21" x14ac:dyDescent="0.2">
      <c r="A51" s="220"/>
      <c r="B51" s="218"/>
      <c r="C51" s="218"/>
      <c r="D51" s="218"/>
      <c r="E51" s="218"/>
      <c r="F51" s="218"/>
      <c r="G51" s="219"/>
      <c r="H51" s="219"/>
      <c r="I51" s="219"/>
      <c r="J51" s="219"/>
      <c r="K51" s="219"/>
      <c r="L51" s="219"/>
      <c r="M51" s="219"/>
      <c r="N51" s="220"/>
      <c r="O51" s="219"/>
      <c r="U51"/>
    </row>
    <row r="52" spans="1:21" x14ac:dyDescent="0.2">
      <c r="A52" s="220" t="s">
        <v>44</v>
      </c>
      <c r="B52" s="218"/>
      <c r="C52" s="218"/>
      <c r="D52" s="218"/>
      <c r="E52" s="218"/>
      <c r="F52" s="218"/>
      <c r="G52" s="219"/>
      <c r="H52" s="240">
        <f>(100%+J52)/2</f>
        <v>0.72</v>
      </c>
      <c r="I52" s="239">
        <f>H52</f>
        <v>0.72</v>
      </c>
      <c r="J52" s="241">
        <v>0.44</v>
      </c>
      <c r="K52" s="239">
        <v>0</v>
      </c>
      <c r="L52" s="239">
        <v>0</v>
      </c>
      <c r="M52" s="239">
        <v>0</v>
      </c>
      <c r="N52" s="220"/>
      <c r="O52" s="220"/>
    </row>
    <row r="53" spans="1:21" x14ac:dyDescent="0.2">
      <c r="A53" s="221">
        <f>+A50</f>
        <v>2024</v>
      </c>
      <c r="B53" s="218"/>
      <c r="C53" s="218"/>
      <c r="D53" s="218"/>
      <c r="E53" s="218"/>
      <c r="F53" s="218"/>
      <c r="G53" s="219">
        <f>G50-G47</f>
        <v>3822350.5544358492</v>
      </c>
      <c r="H53" s="219">
        <f t="shared" ref="H53:M53" si="22">H47*H$35</f>
        <v>67578727.570575446</v>
      </c>
      <c r="I53" s="219">
        <f t="shared" si="22"/>
        <v>25294725.63471292</v>
      </c>
      <c r="J53" s="219">
        <f t="shared" si="22"/>
        <v>58815755.891383424</v>
      </c>
      <c r="K53" s="219">
        <f t="shared" si="22"/>
        <v>0</v>
      </c>
      <c r="L53" s="219">
        <f t="shared" si="22"/>
        <v>0</v>
      </c>
      <c r="M53" s="219">
        <f t="shared" si="22"/>
        <v>0</v>
      </c>
      <c r="N53" s="219">
        <f>SUM(H53:M53)</f>
        <v>151689209.09667179</v>
      </c>
      <c r="O53" s="220"/>
      <c r="U53"/>
    </row>
    <row r="54" spans="1:21" x14ac:dyDescent="0.2">
      <c r="A54" s="220"/>
      <c r="B54" s="218"/>
      <c r="C54" s="218"/>
      <c r="D54" s="218"/>
      <c r="E54" s="218"/>
      <c r="F54" s="218"/>
      <c r="G54" s="219"/>
      <c r="H54" s="219"/>
      <c r="I54" s="219"/>
      <c r="J54" s="219"/>
      <c r="K54" s="219"/>
      <c r="L54" s="219"/>
      <c r="M54" s="219"/>
      <c r="N54" s="220"/>
      <c r="O54" s="220"/>
      <c r="U54"/>
    </row>
    <row r="55" spans="1:21" x14ac:dyDescent="0.2">
      <c r="A55" s="220" t="s">
        <v>45</v>
      </c>
      <c r="B55" s="218"/>
      <c r="C55" s="218"/>
      <c r="D55" s="218"/>
      <c r="E55" s="218"/>
      <c r="F55" s="218"/>
      <c r="G55" s="219"/>
      <c r="H55" s="219"/>
      <c r="I55" s="219"/>
      <c r="J55" s="219"/>
      <c r="K55" s="219"/>
      <c r="L55" s="219"/>
      <c r="M55" s="219"/>
      <c r="N55" s="220"/>
      <c r="O55" s="220"/>
      <c r="U55"/>
    </row>
    <row r="56" spans="1:21" x14ac:dyDescent="0.2">
      <c r="A56" s="221">
        <f>+A53</f>
        <v>2024</v>
      </c>
      <c r="B56" s="218"/>
      <c r="C56" s="218"/>
      <c r="D56" s="218"/>
      <c r="E56" s="218"/>
      <c r="F56" s="218"/>
      <c r="G56" s="219">
        <f>SUM(H56:M56)</f>
        <v>3822350.5544358492</v>
      </c>
      <c r="H56" s="219">
        <f t="shared" ref="H56:M56" si="23">H53/$N$37*$G$37</f>
        <v>1702887.0302358628</v>
      </c>
      <c r="I56" s="219">
        <f t="shared" si="23"/>
        <v>637390.81461312063</v>
      </c>
      <c r="J56" s="219">
        <f t="shared" si="23"/>
        <v>1482072.7095868657</v>
      </c>
      <c r="K56" s="219">
        <f t="shared" si="23"/>
        <v>0</v>
      </c>
      <c r="L56" s="219">
        <f t="shared" si="23"/>
        <v>0</v>
      </c>
      <c r="M56" s="219">
        <f t="shared" si="23"/>
        <v>0</v>
      </c>
      <c r="N56" s="220"/>
      <c r="O56" s="220"/>
      <c r="U56"/>
    </row>
    <row r="57" spans="1:21" x14ac:dyDescent="0.2">
      <c r="A57" s="15"/>
      <c r="U57"/>
    </row>
    <row r="58" spans="1:21" x14ac:dyDescent="0.2">
      <c r="A58" s="15"/>
      <c r="U58"/>
    </row>
    <row r="59" spans="1:21" x14ac:dyDescent="0.2">
      <c r="A59" s="15"/>
      <c r="U59"/>
    </row>
    <row r="60" spans="1:21" x14ac:dyDescent="0.2">
      <c r="A60" s="15"/>
      <c r="U60"/>
    </row>
    <row r="61" spans="1:21" x14ac:dyDescent="0.2">
      <c r="A61" s="15"/>
      <c r="U61"/>
    </row>
    <row r="62" spans="1:21" x14ac:dyDescent="0.2">
      <c r="B62"/>
      <c r="C62"/>
      <c r="D62"/>
      <c r="E62"/>
      <c r="F62"/>
      <c r="G62"/>
      <c r="H62"/>
      <c r="I62"/>
      <c r="J62"/>
      <c r="K62"/>
      <c r="L62"/>
      <c r="M62"/>
      <c r="U62"/>
    </row>
  </sheetData>
  <phoneticPr fontId="0" type="noConversion"/>
  <pageMargins left="0.38" right="0.75" top="0.73" bottom="0.74" header="0.5" footer="0.5"/>
  <pageSetup scale="49" orientation="landscape" r:id="rId1"/>
  <headerFooter alignWithMargins="0">
    <oddFooter>&amp;L&amp;Z&amp;F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pageSetUpPr fitToPage="1"/>
  </sheetPr>
  <dimension ref="A1:O85"/>
  <sheetViews>
    <sheetView topLeftCell="A15" workbookViewId="0">
      <selection activeCell="H22" sqref="H22"/>
    </sheetView>
  </sheetViews>
  <sheetFormatPr defaultRowHeight="12.75" x14ac:dyDescent="0.2"/>
  <cols>
    <col min="1" max="1" width="20.7109375" customWidth="1"/>
    <col min="2" max="2" width="15" style="6" customWidth="1"/>
    <col min="3" max="3" width="14.140625" style="6" bestFit="1" customWidth="1"/>
    <col min="4" max="4" width="17.85546875" style="6" bestFit="1" customWidth="1"/>
    <col min="5" max="5" width="12.5703125" style="6" customWidth="1"/>
    <col min="6" max="7" width="11.42578125" style="6" customWidth="1"/>
    <col min="8" max="8" width="11.5703125" customWidth="1"/>
    <col min="9" max="9" width="12.5703125" bestFit="1" customWidth="1"/>
    <col min="10" max="10" width="12.5703125" customWidth="1"/>
    <col min="11" max="11" width="12.5703125" bestFit="1" customWidth="1"/>
    <col min="12" max="12" width="11.5703125" bestFit="1" customWidth="1"/>
    <col min="13" max="13" width="13.42578125" customWidth="1"/>
    <col min="14" max="15" width="11.5703125" customWidth="1"/>
    <col min="16" max="16" width="10.5703125" bestFit="1" customWidth="1"/>
    <col min="17" max="18" width="9.140625" customWidth="1"/>
  </cols>
  <sheetData>
    <row r="1" spans="1:15" ht="25.5" x14ac:dyDescent="0.2">
      <c r="B1" s="249" t="s">
        <v>73</v>
      </c>
      <c r="C1" s="250"/>
      <c r="D1" s="250"/>
      <c r="E1" s="250"/>
      <c r="F1" s="250"/>
      <c r="G1" s="250"/>
      <c r="M1" s="190" t="s">
        <v>263</v>
      </c>
      <c r="N1" s="190" t="s">
        <v>262</v>
      </c>
      <c r="O1" s="190" t="s">
        <v>40</v>
      </c>
    </row>
    <row r="2" spans="1:15" ht="25.5" x14ac:dyDescent="0.2">
      <c r="A2" s="47" t="s">
        <v>265</v>
      </c>
      <c r="B2" s="9" t="str">
        <f>'Rate Class Energy Model'!H2</f>
        <v xml:space="preserve">Residential </v>
      </c>
      <c r="C2" s="9" t="str">
        <f>'Rate Class Energy Model'!I2</f>
        <v>General Service &lt; 50 kW</v>
      </c>
      <c r="D2" s="9" t="str">
        <f>'Rate Class Energy Model'!J2</f>
        <v>General Service &gt; 50 to 999 kW</v>
      </c>
      <c r="E2" s="9" t="str">
        <f>'Rate Class Energy Model'!K2</f>
        <v>Street Lights</v>
      </c>
      <c r="F2" s="9" t="str">
        <f>'Rate Class Energy Model'!L2</f>
        <v>Sentinel Lights</v>
      </c>
      <c r="G2" s="9" t="str">
        <f>'Rate Class Energy Model'!M2</f>
        <v xml:space="preserve">Unmetered Loads </v>
      </c>
      <c r="H2" s="1" t="s">
        <v>11</v>
      </c>
      <c r="M2" s="207">
        <f>+B21</f>
        <v>11612.666666666666</v>
      </c>
      <c r="N2" s="191">
        <f>+B21*B37</f>
        <v>11762.939072052624</v>
      </c>
      <c r="O2" s="191">
        <f>+M2-N2</f>
        <v>-150.27240538595834</v>
      </c>
    </row>
    <row r="3" spans="1:15" x14ac:dyDescent="0.2">
      <c r="A3" s="4"/>
      <c r="B3" s="28"/>
      <c r="C3" s="28"/>
      <c r="D3" s="28"/>
      <c r="E3" s="28"/>
      <c r="F3" s="28"/>
      <c r="G3" s="28"/>
      <c r="M3" s="207">
        <f>+B22</f>
        <v>11740.5</v>
      </c>
      <c r="N3" s="191">
        <f>+N2*B39</f>
        <v>11915.156060579448</v>
      </c>
      <c r="O3" s="191">
        <f>+M3-N3</f>
        <v>-174.65606057944751</v>
      </c>
    </row>
    <row r="4" spans="1:15" hidden="1" x14ac:dyDescent="0.2">
      <c r="A4" s="4">
        <v>2000</v>
      </c>
      <c r="B4" s="27"/>
      <c r="C4" s="27"/>
      <c r="D4" s="27"/>
      <c r="E4" s="27"/>
      <c r="F4" s="27"/>
      <c r="G4" s="27"/>
    </row>
    <row r="5" spans="1:15" hidden="1" x14ac:dyDescent="0.2">
      <c r="A5" s="4">
        <v>2001</v>
      </c>
      <c r="B5" s="28" t="e">
        <f>(#REF!+#REF!)/2</f>
        <v>#REF!</v>
      </c>
      <c r="C5" s="28" t="e">
        <f>(#REF!+#REF!)/2</f>
        <v>#REF!</v>
      </c>
      <c r="D5" s="28" t="e">
        <f>(#REF!+#REF!)/2</f>
        <v>#REF!</v>
      </c>
      <c r="E5" s="28" t="e">
        <f>(#REF!+#REF!)/2</f>
        <v>#REF!</v>
      </c>
      <c r="F5" s="28" t="e">
        <f>(#REF!+#REF!)/2</f>
        <v>#REF!</v>
      </c>
      <c r="G5" s="28"/>
    </row>
    <row r="6" spans="1:15" hidden="1" x14ac:dyDescent="0.2">
      <c r="A6" s="4">
        <v>2002</v>
      </c>
      <c r="B6" s="28" t="e">
        <f>(#REF!+#REF!)/2</f>
        <v>#REF!</v>
      </c>
      <c r="C6" s="28" t="e">
        <f>(#REF!+#REF!)/2</f>
        <v>#REF!</v>
      </c>
      <c r="D6" s="28" t="e">
        <f>(#REF!+#REF!)/2</f>
        <v>#REF!</v>
      </c>
      <c r="E6" s="28" t="e">
        <f>(#REF!+#REF!)/2</f>
        <v>#REF!</v>
      </c>
      <c r="F6" s="28">
        <v>0</v>
      </c>
      <c r="G6" s="28"/>
    </row>
    <row r="7" spans="1:15" hidden="1" x14ac:dyDescent="0.2">
      <c r="A7" s="4">
        <v>2003</v>
      </c>
      <c r="B7" s="28" t="e">
        <f>(#REF!+#REF!)/2</f>
        <v>#REF!</v>
      </c>
      <c r="C7" s="28" t="e">
        <f>(#REF!+#REF!)/2</f>
        <v>#REF!</v>
      </c>
      <c r="D7" s="28" t="e">
        <f>(#REF!+#REF!)/2</f>
        <v>#REF!</v>
      </c>
      <c r="E7" s="28" t="e">
        <f>(#REF!+#REF!)/2</f>
        <v>#REF!</v>
      </c>
      <c r="F7" s="28" t="e">
        <f>(#REF!+#REF!)/2</f>
        <v>#REF!</v>
      </c>
      <c r="G7" s="28"/>
    </row>
    <row r="8" spans="1:15" hidden="1" x14ac:dyDescent="0.2">
      <c r="A8" s="4">
        <v>2004</v>
      </c>
      <c r="B8" s="28" t="e">
        <f>(#REF!+#REF!)/2</f>
        <v>#REF!</v>
      </c>
      <c r="C8" s="28" t="e">
        <f>(#REF!+#REF!)/2</f>
        <v>#REF!</v>
      </c>
      <c r="D8" s="28" t="e">
        <f>(#REF!+#REF!)/2</f>
        <v>#REF!</v>
      </c>
      <c r="E8" s="28" t="e">
        <f>(#REF!+#REF!)/2</f>
        <v>#REF!</v>
      </c>
      <c r="F8" s="28" t="e">
        <f>(#REF!+#REF!)/2</f>
        <v>#REF!</v>
      </c>
      <c r="G8" s="28"/>
    </row>
    <row r="9" spans="1:15" hidden="1" x14ac:dyDescent="0.2">
      <c r="A9" s="4">
        <v>2005</v>
      </c>
      <c r="B9" s="28" t="e">
        <f>(#REF!+#REF!)/2</f>
        <v>#REF!</v>
      </c>
      <c r="C9" s="28" t="e">
        <f>(#REF!+#REF!)/2</f>
        <v>#REF!</v>
      </c>
      <c r="D9" s="28" t="e">
        <f>(#REF!+#REF!)/2</f>
        <v>#REF!</v>
      </c>
      <c r="E9" s="28" t="e">
        <f>(#REF!+#REF!)/2</f>
        <v>#REF!</v>
      </c>
      <c r="F9" s="28" t="e">
        <f>(#REF!+#REF!)/2</f>
        <v>#REF!</v>
      </c>
      <c r="G9" s="28"/>
    </row>
    <row r="10" spans="1:15" hidden="1" x14ac:dyDescent="0.2">
      <c r="A10" s="4">
        <v>2006</v>
      </c>
      <c r="B10" s="28" t="e">
        <f>(#REF!+#REF!)/2</f>
        <v>#REF!</v>
      </c>
      <c r="C10" s="28" t="e">
        <f>(#REF!+#REF!)/2</f>
        <v>#REF!</v>
      </c>
      <c r="D10" s="28" t="e">
        <f>(#REF!+#REF!)/2</f>
        <v>#REF!</v>
      </c>
      <c r="E10" s="28">
        <v>1</v>
      </c>
      <c r="F10" s="28" t="e">
        <f>(#REF!+#REF!)/2</f>
        <v>#REF!</v>
      </c>
      <c r="G10" s="28"/>
    </row>
    <row r="11" spans="1:15" x14ac:dyDescent="0.2">
      <c r="A11" s="4">
        <v>2013</v>
      </c>
      <c r="B11" s="43">
        <f>(SUMIF(Inputs!B:B,'Rate Class Customer Model'!A11,Inputs!Q:Q))/12</f>
        <v>10211.583333333334</v>
      </c>
      <c r="C11" s="43">
        <f>(SUMIF(Inputs!B:B,'Rate Class Customer Model'!A11,Inputs!S:S))/12</f>
        <v>1122.75</v>
      </c>
      <c r="D11" s="43">
        <f>(SUMIF(Inputs!B:B,'Rate Class Customer Model'!A11,Inputs!V:V))/12</f>
        <v>124.66666666666667</v>
      </c>
      <c r="E11" s="43">
        <f>(SUMIF(Inputs!B:B,'Rate Class Customer Model'!A11,Inputs!Y:Y))/12</f>
        <v>2853.9166666666665</v>
      </c>
      <c r="F11" s="43">
        <f>(SUMIF(Inputs!B:B,'Rate Class Customer Model'!A11,Inputs!AB:AB))/12</f>
        <v>156</v>
      </c>
      <c r="G11" s="43">
        <f>(SUMIF(Inputs!B:B,'Rate Class Customer Model'!A11,Inputs!AD:AD))/12</f>
        <v>103.75</v>
      </c>
      <c r="H11" s="57">
        <f t="shared" ref="H11:H22" si="0">SUM(B11:G11)</f>
        <v>14572.666666666666</v>
      </c>
    </row>
    <row r="12" spans="1:15" x14ac:dyDescent="0.2">
      <c r="A12" s="4">
        <v>2014</v>
      </c>
      <c r="B12" s="43">
        <f>(SUMIF(Inputs!B:B,'Rate Class Customer Model'!A12,Inputs!Q:Q))/12</f>
        <v>10344.166666666666</v>
      </c>
      <c r="C12" s="43">
        <f>(SUMIF(Inputs!B:B,'Rate Class Customer Model'!A12,Inputs!S:S))/12</f>
        <v>1138.4166666666667</v>
      </c>
      <c r="D12" s="43">
        <f>(SUMIF(Inputs!B:B,'Rate Class Customer Model'!A12,Inputs!V:V))/12</f>
        <v>132.08333333333334</v>
      </c>
      <c r="E12" s="43">
        <f>(SUMIF(Inputs!B:B,'Rate Class Customer Model'!A12,Inputs!Y:Y))/12</f>
        <v>2895.75</v>
      </c>
      <c r="F12" s="43">
        <f>(SUMIF(Inputs!B:B,'Rate Class Customer Model'!A12,Inputs!AB:AB))/12</f>
        <v>152.16666666666666</v>
      </c>
      <c r="G12" s="43">
        <f>(SUMIF(Inputs!B:B,'Rate Class Customer Model'!A12,Inputs!AD:AD))/12</f>
        <v>104</v>
      </c>
      <c r="H12" s="57">
        <f t="shared" si="0"/>
        <v>14766.583333333332</v>
      </c>
    </row>
    <row r="13" spans="1:15" x14ac:dyDescent="0.2">
      <c r="A13" s="4">
        <v>2015</v>
      </c>
      <c r="B13" s="43">
        <f>(SUMIF(Inputs!B:B,'Rate Class Customer Model'!A13,Inputs!Q:Q))/12</f>
        <v>10502.083333333334</v>
      </c>
      <c r="C13" s="43">
        <f>(SUMIF(Inputs!B:B,'Rate Class Customer Model'!A13,Inputs!S:S))/12</f>
        <v>1133.75</v>
      </c>
      <c r="D13" s="43">
        <f>(SUMIF(Inputs!B:B,'Rate Class Customer Model'!A13,Inputs!V:V))/12</f>
        <v>138.75</v>
      </c>
      <c r="E13" s="43">
        <f>(SUMIF(Inputs!B:B,'Rate Class Customer Model'!A13,Inputs!Y:Y))/12</f>
        <v>2916.25</v>
      </c>
      <c r="F13" s="43">
        <f>(SUMIF(Inputs!B:B,'Rate Class Customer Model'!A13,Inputs!AB:AB))/12</f>
        <v>150.83333333333334</v>
      </c>
      <c r="G13" s="43">
        <f>(SUMIF(Inputs!B:B,'Rate Class Customer Model'!A13,Inputs!AD:AD))/12</f>
        <v>96.5</v>
      </c>
      <c r="H13" s="57">
        <f t="shared" si="0"/>
        <v>14938.166666666668</v>
      </c>
    </row>
    <row r="14" spans="1:15" x14ac:dyDescent="0.2">
      <c r="A14" s="4">
        <v>2016</v>
      </c>
      <c r="B14" s="43">
        <f>(SUMIF(Inputs!B:B,'Rate Class Customer Model'!A14,Inputs!Q:Q))/12</f>
        <v>10634.083333333334</v>
      </c>
      <c r="C14" s="43">
        <f>(SUMIF(Inputs!B:B,'Rate Class Customer Model'!A14,Inputs!S:S))/12</f>
        <v>1133.0833333333333</v>
      </c>
      <c r="D14" s="43">
        <f>(SUMIF(Inputs!B:B,'Rate Class Customer Model'!A14,Inputs!V:V))/12</f>
        <v>139.91666666666666</v>
      </c>
      <c r="E14" s="43">
        <f>(SUMIF(Inputs!B:B,'Rate Class Customer Model'!A14,Inputs!Y:Y))/12</f>
        <v>2852.25</v>
      </c>
      <c r="F14" s="43">
        <f>(SUMIF(Inputs!B:B,'Rate Class Customer Model'!A14,Inputs!AB:AB))/12</f>
        <v>152.41666666666666</v>
      </c>
      <c r="G14" s="43">
        <f>(SUMIF(Inputs!B:B,'Rate Class Customer Model'!A14,Inputs!AD:AD))/12</f>
        <v>97</v>
      </c>
      <c r="H14" s="57">
        <f t="shared" si="0"/>
        <v>15008.75</v>
      </c>
    </row>
    <row r="15" spans="1:15" x14ac:dyDescent="0.2">
      <c r="A15" s="4">
        <v>2017</v>
      </c>
      <c r="B15" s="43">
        <f>(SUMIF(Inputs!B:B,'Rate Class Customer Model'!A15,Inputs!Q:Q))/12</f>
        <v>10912.666666666666</v>
      </c>
      <c r="C15" s="43">
        <f>(SUMIF(Inputs!B:B,'Rate Class Customer Model'!A15,Inputs!S:S))/12</f>
        <v>1143.1666666666667</v>
      </c>
      <c r="D15" s="43">
        <f>(SUMIF(Inputs!B:B,'Rate Class Customer Model'!A15,Inputs!V:V))/12</f>
        <v>134.33333333333334</v>
      </c>
      <c r="E15" s="43">
        <f>(SUMIF(Inputs!B:B,'Rate Class Customer Model'!A15,Inputs!Y:Y))/12</f>
        <v>2876.75</v>
      </c>
      <c r="F15" s="43">
        <f>(SUMIF(Inputs!B:B,'Rate Class Customer Model'!A15,Inputs!AB:AB))/12</f>
        <v>150.83333333333334</v>
      </c>
      <c r="G15" s="43">
        <f>(SUMIF(Inputs!B:B,'Rate Class Customer Model'!A15,Inputs!AD:AD))/12</f>
        <v>97</v>
      </c>
      <c r="H15" s="57">
        <f t="shared" si="0"/>
        <v>15314.75</v>
      </c>
    </row>
    <row r="16" spans="1:15" x14ac:dyDescent="0.2">
      <c r="A16" s="4">
        <v>2018</v>
      </c>
      <c r="B16" s="43">
        <f>(SUMIF(Inputs!B:B,'Rate Class Customer Model'!A16,Inputs!Q:Q))/12</f>
        <v>11219.083333333334</v>
      </c>
      <c r="C16" s="43">
        <f>(SUMIF(Inputs!B:B,'Rate Class Customer Model'!A16,Inputs!S:S))/12</f>
        <v>1154.5</v>
      </c>
      <c r="D16" s="43">
        <f>(SUMIF(Inputs!B:B,'Rate Class Customer Model'!A16,Inputs!V:V))/12</f>
        <v>135.91666666666666</v>
      </c>
      <c r="E16" s="43">
        <f>(SUMIF(Inputs!B:B,'Rate Class Customer Model'!A16,Inputs!Y:Y))/12</f>
        <v>2900</v>
      </c>
      <c r="F16" s="43">
        <f>(SUMIF(Inputs!B:B,'Rate Class Customer Model'!A16,Inputs!AB:AB))/12</f>
        <v>153.66666666666666</v>
      </c>
      <c r="G16" s="43">
        <f>(SUMIF(Inputs!B:B,'Rate Class Customer Model'!A16,Inputs!AD:AD))/12</f>
        <v>97</v>
      </c>
      <c r="H16" s="57">
        <f t="shared" si="0"/>
        <v>15660.166666666666</v>
      </c>
    </row>
    <row r="17" spans="1:9" x14ac:dyDescent="0.2">
      <c r="A17" s="4">
        <v>2019</v>
      </c>
      <c r="B17" s="43">
        <f>(SUMIF(Inputs!B:B,'Rate Class Customer Model'!A17,Inputs!Q:Q))/12</f>
        <v>11336</v>
      </c>
      <c r="C17" s="43">
        <f>(SUMIF(Inputs!B:B,'Rate Class Customer Model'!A17,Inputs!S:S))/12</f>
        <v>1164.0833333333333</v>
      </c>
      <c r="D17" s="43">
        <f>(SUMIF(Inputs!B:B,'Rate Class Customer Model'!A17,Inputs!V:V))/12</f>
        <v>132.25</v>
      </c>
      <c r="E17" s="43">
        <f>(SUMIF(Inputs!B:B,'Rate Class Customer Model'!A17,Inputs!Y:Y))/12</f>
        <v>2939</v>
      </c>
      <c r="F17" s="43">
        <f>(SUMIF(Inputs!B:B,'Rate Class Customer Model'!A17,Inputs!AB:AB))/12</f>
        <v>155.5</v>
      </c>
      <c r="G17" s="43">
        <f>(SUMIF(Inputs!B:B,'Rate Class Customer Model'!A17,Inputs!AD:AD))/12</f>
        <v>97</v>
      </c>
      <c r="H17" s="57">
        <f t="shared" si="0"/>
        <v>15823.833333333334</v>
      </c>
    </row>
    <row r="18" spans="1:9" x14ac:dyDescent="0.2">
      <c r="A18" s="4">
        <v>2020</v>
      </c>
      <c r="B18" s="43">
        <f>(SUMIF(Inputs!B:B,'Rate Class Customer Model'!A18,Inputs!Q:Q))/12</f>
        <v>11381.916666666666</v>
      </c>
      <c r="C18" s="43">
        <f>(SUMIF(Inputs!B:B,'Rate Class Customer Model'!A18,Inputs!S:S))/12</f>
        <v>1163.8333333333333</v>
      </c>
      <c r="D18" s="43">
        <f>(SUMIF(Inputs!B:B,'Rate Class Customer Model'!A18,Inputs!V:V))/12</f>
        <v>122.08333333333333</v>
      </c>
      <c r="E18" s="43">
        <f>(SUMIF(Inputs!B:B,'Rate Class Customer Model'!A18,Inputs!Y:Y))/12</f>
        <v>2944.1666666666665</v>
      </c>
      <c r="F18" s="43">
        <f>(SUMIF(Inputs!B:B,'Rate Class Customer Model'!A18,Inputs!AB:AB))/12</f>
        <v>157.66666666666666</v>
      </c>
      <c r="G18" s="43">
        <f>(SUMIF(Inputs!B:B,'Rate Class Customer Model'!A18,Inputs!AD:AD))/12</f>
        <v>97</v>
      </c>
      <c r="H18" s="57">
        <f t="shared" si="0"/>
        <v>15866.666666666666</v>
      </c>
    </row>
    <row r="19" spans="1:9" x14ac:dyDescent="0.2">
      <c r="A19" s="4">
        <v>2021</v>
      </c>
      <c r="B19" s="43">
        <f>(SUMIF(Inputs!B:B,'Rate Class Customer Model'!A19,Inputs!Q:Q))/12</f>
        <v>11468.75</v>
      </c>
      <c r="C19" s="43">
        <f>(SUMIF(Inputs!B:B,'Rate Class Customer Model'!A19,Inputs!S:S))/12</f>
        <v>1166.5833333333333</v>
      </c>
      <c r="D19" s="43">
        <f>(SUMIF(Inputs!B:B,'Rate Class Customer Model'!A19,Inputs!V:V))/12</f>
        <v>126</v>
      </c>
      <c r="E19" s="43">
        <f>(SUMIF(Inputs!B:B,'Rate Class Customer Model'!A19,Inputs!Y:Y))/12</f>
        <v>2965.9166666666665</v>
      </c>
      <c r="F19" s="43">
        <f>(SUMIF(Inputs!B:B,'Rate Class Customer Model'!A19,Inputs!AB:AB))/12</f>
        <v>158</v>
      </c>
      <c r="G19" s="43">
        <f>(SUMIF(Inputs!B:B,'Rate Class Customer Model'!A19,Inputs!AD:AD))/12</f>
        <v>98</v>
      </c>
      <c r="H19" s="57">
        <f t="shared" si="0"/>
        <v>15983.25</v>
      </c>
    </row>
    <row r="20" spans="1:9" x14ac:dyDescent="0.2">
      <c r="A20" s="4">
        <v>2022</v>
      </c>
      <c r="B20" s="43">
        <f>(SUMIF(Inputs!B:B,'Rate Class Customer Model'!A20,Inputs!Q:Q))/12</f>
        <v>11526.25</v>
      </c>
      <c r="C20" s="43">
        <f>(SUMIF(Inputs!B:B,'Rate Class Customer Model'!A20,Inputs!S:S))/12</f>
        <v>1166.5</v>
      </c>
      <c r="D20" s="43">
        <f>(SUMIF(Inputs!B:B,'Rate Class Customer Model'!A20,Inputs!V:V))/12</f>
        <v>125.75</v>
      </c>
      <c r="E20" s="43">
        <f>(SUMIF(Inputs!B:B,'Rate Class Customer Model'!A20,Inputs!Y:Y))/12</f>
        <v>2985</v>
      </c>
      <c r="F20" s="43">
        <f>(SUMIF(Inputs!B:B,'Rate Class Customer Model'!A20,Inputs!AB:AB))/12</f>
        <v>157.25</v>
      </c>
      <c r="G20" s="43">
        <f>(SUMIF(Inputs!B:B,'Rate Class Customer Model'!A20,Inputs!AD:AD))/12</f>
        <v>98</v>
      </c>
      <c r="H20" s="57">
        <f t="shared" si="0"/>
        <v>16058.75</v>
      </c>
    </row>
    <row r="21" spans="1:9" x14ac:dyDescent="0.2">
      <c r="A21" s="4">
        <v>2023</v>
      </c>
      <c r="B21" s="43">
        <f>(SUMIF(Inputs!B:B,'Rate Class Customer Model'!A21,Inputs!Q:Q))/12</f>
        <v>11612.666666666666</v>
      </c>
      <c r="C21" s="43">
        <f>(SUMIF(Inputs!B:B,'Rate Class Customer Model'!A21,Inputs!S:S))/12</f>
        <v>1164.25</v>
      </c>
      <c r="D21" s="43">
        <f>(SUMIF(Inputs!B:B,'Rate Class Customer Model'!A21,Inputs!V:V))/12</f>
        <v>126</v>
      </c>
      <c r="E21" s="43">
        <f>(SUMIF(Inputs!B:B,'Rate Class Customer Model'!A21,Inputs!Y:Y))/12</f>
        <v>2963</v>
      </c>
      <c r="F21" s="43">
        <f>(SUMIF(Inputs!B:B,'Rate Class Customer Model'!A21,Inputs!AB:AB))/12</f>
        <v>157</v>
      </c>
      <c r="G21" s="43">
        <f>(SUMIF(Inputs!B:B,'Rate Class Customer Model'!A21,Inputs!AD:AD))/12</f>
        <v>97</v>
      </c>
      <c r="H21" s="57">
        <f t="shared" si="0"/>
        <v>16119.916666666666</v>
      </c>
      <c r="I21" s="47" t="s">
        <v>272</v>
      </c>
    </row>
    <row r="22" spans="1:9" x14ac:dyDescent="0.2">
      <c r="A22" s="4">
        <v>2024</v>
      </c>
      <c r="B22" s="222">
        <f>Inputs!Q134+145/2</f>
        <v>11740.5</v>
      </c>
      <c r="C22" s="69">
        <f t="shared" ref="C22:G22" si="1">C21*C37</f>
        <v>1168.4834481663743</v>
      </c>
      <c r="D22" s="69">
        <f t="shared" si="1"/>
        <v>126.13411514324987</v>
      </c>
      <c r="E22" s="69">
        <f t="shared" si="1"/>
        <v>2974.135068550856</v>
      </c>
      <c r="F22" s="69">
        <f t="shared" si="1"/>
        <v>157.10035188815147</v>
      </c>
      <c r="G22" s="69">
        <f t="shared" si="1"/>
        <v>96.349640189523058</v>
      </c>
      <c r="H22" s="57">
        <f t="shared" si="0"/>
        <v>16262.702623938154</v>
      </c>
    </row>
    <row r="23" spans="1:9" x14ac:dyDescent="0.2">
      <c r="A23" s="15"/>
      <c r="B23" s="246" t="s">
        <v>288</v>
      </c>
    </row>
    <row r="24" spans="1:9" x14ac:dyDescent="0.2">
      <c r="A24" s="15" t="s">
        <v>41</v>
      </c>
      <c r="B24" s="5"/>
      <c r="C24" s="5"/>
      <c r="D24" s="5"/>
      <c r="E24" s="5"/>
      <c r="F24" s="18"/>
      <c r="G24" s="18"/>
    </row>
    <row r="25" spans="1:9" x14ac:dyDescent="0.2">
      <c r="A25" s="46" t="s">
        <v>177</v>
      </c>
      <c r="B25" s="18"/>
      <c r="C25" s="18"/>
      <c r="D25" s="18"/>
      <c r="E25" s="18"/>
      <c r="F25" s="18"/>
      <c r="G25" s="18"/>
    </row>
    <row r="26" spans="1:9" x14ac:dyDescent="0.2">
      <c r="A26" s="4">
        <f>+A12</f>
        <v>2014</v>
      </c>
      <c r="B26" s="18">
        <f>B12/B11</f>
        <v>1.0129836215408972</v>
      </c>
      <c r="C26" s="18">
        <f t="shared" ref="C26:G26" si="2">C12/C11</f>
        <v>1.0139538335931122</v>
      </c>
      <c r="D26" s="18">
        <f t="shared" si="2"/>
        <v>1.0594919786096257</v>
      </c>
      <c r="E26" s="18">
        <f t="shared" si="2"/>
        <v>1.0146582182380939</v>
      </c>
      <c r="F26" s="18">
        <f t="shared" si="2"/>
        <v>0.9754273504273504</v>
      </c>
      <c r="G26" s="18">
        <f t="shared" si="2"/>
        <v>1.0024096385542169</v>
      </c>
    </row>
    <row r="27" spans="1:9" x14ac:dyDescent="0.2">
      <c r="A27" s="4">
        <f t="shared" ref="A27:A34" si="3">+A13</f>
        <v>2015</v>
      </c>
      <c r="B27" s="18">
        <f t="shared" ref="B27:B33" si="4">B13/B12</f>
        <v>1.0152662531217274</v>
      </c>
      <c r="C27" s="18">
        <f t="shared" ref="C27:G27" si="5">C13/C12</f>
        <v>0.99590073933094203</v>
      </c>
      <c r="D27" s="18">
        <f t="shared" si="5"/>
        <v>1.0504731861198737</v>
      </c>
      <c r="E27" s="18">
        <f t="shared" si="5"/>
        <v>1.0070793404126737</v>
      </c>
      <c r="F27" s="18">
        <f t="shared" si="5"/>
        <v>0.99123767798466611</v>
      </c>
      <c r="G27" s="18">
        <f t="shared" si="5"/>
        <v>0.92788461538461542</v>
      </c>
    </row>
    <row r="28" spans="1:9" x14ac:dyDescent="0.2">
      <c r="A28" s="4">
        <f t="shared" si="3"/>
        <v>2016</v>
      </c>
      <c r="B28" s="18">
        <f t="shared" si="4"/>
        <v>1.0125689347351716</v>
      </c>
      <c r="C28" s="18">
        <f t="shared" ref="C28:G28" si="6">C14/C13</f>
        <v>0.99941198088937888</v>
      </c>
      <c r="D28" s="18">
        <f t="shared" si="6"/>
        <v>1.0084084084084084</v>
      </c>
      <c r="E28" s="18">
        <f t="shared" si="6"/>
        <v>0.97805400771538786</v>
      </c>
      <c r="F28" s="18">
        <f t="shared" si="6"/>
        <v>1.0104972375690606</v>
      </c>
      <c r="G28" s="18">
        <f t="shared" si="6"/>
        <v>1.0051813471502591</v>
      </c>
    </row>
    <row r="29" spans="1:9" x14ac:dyDescent="0.2">
      <c r="A29" s="4">
        <f t="shared" si="3"/>
        <v>2017</v>
      </c>
      <c r="B29" s="18">
        <f t="shared" si="4"/>
        <v>1.0261972117954061</v>
      </c>
      <c r="C29" s="18">
        <f t="shared" ref="C29:G29" si="7">C15/C14</f>
        <v>1.0088990218430538</v>
      </c>
      <c r="D29" s="18">
        <f t="shared" si="7"/>
        <v>0.96009529481834444</v>
      </c>
      <c r="E29" s="18">
        <f t="shared" si="7"/>
        <v>1.0085897098781664</v>
      </c>
      <c r="F29" s="18">
        <f t="shared" si="7"/>
        <v>0.98961180973209417</v>
      </c>
      <c r="G29" s="18">
        <f t="shared" si="7"/>
        <v>1</v>
      </c>
    </row>
    <row r="30" spans="1:9" x14ac:dyDescent="0.2">
      <c r="A30" s="4">
        <f t="shared" si="3"/>
        <v>2018</v>
      </c>
      <c r="B30" s="18">
        <f>B16/B15</f>
        <v>1.0280789907752459</v>
      </c>
      <c r="C30" s="18">
        <f t="shared" ref="C30:G30" si="8">C16/C15</f>
        <v>1.0099139816299751</v>
      </c>
      <c r="D30" s="18">
        <f t="shared" si="8"/>
        <v>1.0117866004962777</v>
      </c>
      <c r="E30" s="18">
        <f t="shared" si="8"/>
        <v>1.0080820370209438</v>
      </c>
      <c r="F30" s="18">
        <f t="shared" si="8"/>
        <v>1.0187845303867402</v>
      </c>
      <c r="G30" s="18">
        <f t="shared" si="8"/>
        <v>1</v>
      </c>
    </row>
    <row r="31" spans="1:9" x14ac:dyDescent="0.2">
      <c r="A31" s="4">
        <f t="shared" si="3"/>
        <v>2019</v>
      </c>
      <c r="B31" s="18">
        <f t="shared" si="4"/>
        <v>1.0104212316811385</v>
      </c>
      <c r="C31" s="18">
        <f t="shared" ref="C31:G31" si="9">C17/C16</f>
        <v>1.0083008517395697</v>
      </c>
      <c r="D31" s="18">
        <f t="shared" si="9"/>
        <v>0.97302268546903747</v>
      </c>
      <c r="E31" s="18">
        <f t="shared" si="9"/>
        <v>1.0134482758620689</v>
      </c>
      <c r="F31" s="18">
        <f t="shared" si="9"/>
        <v>1.0119305856832972</v>
      </c>
      <c r="G31" s="18">
        <f t="shared" si="9"/>
        <v>1</v>
      </c>
    </row>
    <row r="32" spans="1:9" x14ac:dyDescent="0.2">
      <c r="A32" s="4">
        <f t="shared" si="3"/>
        <v>2020</v>
      </c>
      <c r="B32" s="18">
        <f t="shared" si="4"/>
        <v>1.0040505175252881</v>
      </c>
      <c r="C32" s="18">
        <f t="shared" ref="C32:G32" si="10">C18/C17</f>
        <v>0.99978523874293079</v>
      </c>
      <c r="D32" s="18">
        <f t="shared" si="10"/>
        <v>0.92312539382482672</v>
      </c>
      <c r="E32" s="18">
        <f t="shared" si="10"/>
        <v>1.0017579675626629</v>
      </c>
      <c r="F32" s="18">
        <f t="shared" si="10"/>
        <v>1.0139335476956055</v>
      </c>
      <c r="G32" s="18">
        <f t="shared" si="10"/>
        <v>1</v>
      </c>
    </row>
    <row r="33" spans="1:8" x14ac:dyDescent="0.2">
      <c r="A33" s="4">
        <f t="shared" si="3"/>
        <v>2021</v>
      </c>
      <c r="B33" s="18">
        <f t="shared" si="4"/>
        <v>1.007629060717659</v>
      </c>
      <c r="C33" s="18">
        <f t="shared" ref="C33:G33" si="11">C19/C18</f>
        <v>1.0023628812831162</v>
      </c>
      <c r="D33" s="18">
        <f t="shared" si="11"/>
        <v>1.0320819112627986</v>
      </c>
      <c r="E33" s="18">
        <f t="shared" si="11"/>
        <v>1.007387489385791</v>
      </c>
      <c r="F33" s="18">
        <f t="shared" si="11"/>
        <v>1.0021141649048626</v>
      </c>
      <c r="G33" s="18">
        <f t="shared" si="11"/>
        <v>1.0103092783505154</v>
      </c>
    </row>
    <row r="34" spans="1:8" x14ac:dyDescent="0.2">
      <c r="A34" s="4">
        <f t="shared" si="3"/>
        <v>2022</v>
      </c>
      <c r="B34" s="18">
        <f>B20/B19</f>
        <v>1.0050136239782017</v>
      </c>
      <c r="C34" s="18">
        <f t="shared" ref="C34:G35" si="12">C20/C19</f>
        <v>0.99992856632616622</v>
      </c>
      <c r="D34" s="18">
        <f t="shared" si="12"/>
        <v>0.99801587301587302</v>
      </c>
      <c r="E34" s="18">
        <f t="shared" si="12"/>
        <v>1.0064342108960131</v>
      </c>
      <c r="F34" s="18">
        <f t="shared" si="12"/>
        <v>0.995253164556962</v>
      </c>
      <c r="G34" s="18">
        <f t="shared" si="12"/>
        <v>1</v>
      </c>
    </row>
    <row r="35" spans="1:8" x14ac:dyDescent="0.2">
      <c r="A35" s="4">
        <v>2023</v>
      </c>
      <c r="B35" s="18">
        <f>B21/B20</f>
        <v>1.0074973791707333</v>
      </c>
      <c r="C35" s="18">
        <f t="shared" si="12"/>
        <v>0.99807115302186022</v>
      </c>
      <c r="D35" s="18">
        <f t="shared" si="12"/>
        <v>1.0019880715705765</v>
      </c>
      <c r="E35" s="18">
        <f t="shared" si="12"/>
        <v>0.99262981574539366</v>
      </c>
      <c r="F35" s="18">
        <f t="shared" si="12"/>
        <v>0.99841017488076311</v>
      </c>
      <c r="G35" s="18">
        <f t="shared" si="12"/>
        <v>0.98979591836734693</v>
      </c>
    </row>
    <row r="36" spans="1:8" x14ac:dyDescent="0.2">
      <c r="A36">
        <v>2024</v>
      </c>
      <c r="B36" s="18">
        <f t="shared" ref="B36" si="13">B22/B21</f>
        <v>1.0110080946093347</v>
      </c>
    </row>
    <row r="37" spans="1:8" x14ac:dyDescent="0.2">
      <c r="A37" t="s">
        <v>55</v>
      </c>
      <c r="B37" s="83">
        <f>B39</f>
        <v>1.0129403873976082</v>
      </c>
      <c r="C37" s="83">
        <f t="shared" ref="C37:E37" si="14">C39</f>
        <v>1.003636201989585</v>
      </c>
      <c r="D37" s="83">
        <f t="shared" si="14"/>
        <v>1.0010644058988085</v>
      </c>
      <c r="E37" s="83">
        <f t="shared" si="14"/>
        <v>1.0037580386604306</v>
      </c>
      <c r="F37" s="83">
        <f>+F39</f>
        <v>1.0006391840009647</v>
      </c>
      <c r="G37" s="83">
        <f>+G39</f>
        <v>0.99329525968580479</v>
      </c>
      <c r="H37" s="47" t="s">
        <v>97</v>
      </c>
    </row>
    <row r="38" spans="1:8" x14ac:dyDescent="0.2">
      <c r="B38" s="19"/>
      <c r="C38" s="19"/>
      <c r="D38" s="19"/>
      <c r="E38" s="19"/>
      <c r="F38" s="19"/>
      <c r="G38" s="19"/>
    </row>
    <row r="39" spans="1:8" x14ac:dyDescent="0.2">
      <c r="A39" t="s">
        <v>16</v>
      </c>
      <c r="B39" s="214">
        <f>IF(B20="",0,GEOMEAN(B26:B35))</f>
        <v>1.0129403873976082</v>
      </c>
      <c r="C39" s="214">
        <f t="shared" ref="C39:G39" si="15">IF(C20="",0,GEOMEAN(C26:C35))</f>
        <v>1.003636201989585</v>
      </c>
      <c r="D39" s="214">
        <f t="shared" si="15"/>
        <v>1.0010644058988085</v>
      </c>
      <c r="E39" s="214">
        <f t="shared" si="15"/>
        <v>1.0037580386604306</v>
      </c>
      <c r="F39" s="214">
        <f t="shared" si="15"/>
        <v>1.0006391840009647</v>
      </c>
      <c r="G39" s="214">
        <f t="shared" si="15"/>
        <v>0.99329525968580479</v>
      </c>
      <c r="H39" s="47" t="s">
        <v>277</v>
      </c>
    </row>
    <row r="40" spans="1:8" x14ac:dyDescent="0.2">
      <c r="A40" s="4"/>
      <c r="B40" s="19"/>
      <c r="C40" s="19"/>
      <c r="D40" s="19"/>
      <c r="E40" s="19"/>
      <c r="F40" s="19"/>
      <c r="G40" s="19"/>
    </row>
    <row r="41" spans="1:8" x14ac:dyDescent="0.2">
      <c r="B41"/>
      <c r="C41"/>
      <c r="D41"/>
      <c r="E41"/>
      <c r="F41"/>
      <c r="G41"/>
    </row>
    <row r="42" spans="1:8" x14ac:dyDescent="0.2">
      <c r="A42" s="210" t="s">
        <v>270</v>
      </c>
      <c r="B42" s="206"/>
      <c r="C42" s="206"/>
      <c r="D42" s="206"/>
      <c r="E42" s="206"/>
      <c r="F42" s="206"/>
      <c r="G42" s="206"/>
    </row>
    <row r="43" spans="1:8" ht="25.5" x14ac:dyDescent="0.2">
      <c r="A43" s="215" t="s">
        <v>271</v>
      </c>
      <c r="B43" s="216" t="str">
        <f>+B2</f>
        <v xml:space="preserve">Residential </v>
      </c>
      <c r="C43" s="216" t="str">
        <f t="shared" ref="C43:G43" si="16">+C2</f>
        <v>General Service &lt; 50 kW</v>
      </c>
      <c r="D43" s="216" t="str">
        <f t="shared" si="16"/>
        <v>General Service &gt; 50 to 999 kW</v>
      </c>
      <c r="E43" s="216" t="str">
        <f t="shared" si="16"/>
        <v>Street Lights</v>
      </c>
      <c r="F43" s="216" t="str">
        <f t="shared" si="16"/>
        <v>Sentinel Lights</v>
      </c>
      <c r="G43" s="216" t="str">
        <f t="shared" si="16"/>
        <v xml:space="preserve">Unmetered Loads </v>
      </c>
    </row>
    <row r="44" spans="1:8" x14ac:dyDescent="0.2">
      <c r="A44" s="210">
        <v>44927</v>
      </c>
      <c r="B44" s="211">
        <f>+Inputs!Q123</f>
        <v>11561</v>
      </c>
      <c r="C44" s="211">
        <f>+Inputs!S123</f>
        <v>1161</v>
      </c>
      <c r="D44" s="211">
        <f>+Inputs!V123</f>
        <v>125</v>
      </c>
      <c r="E44" s="211">
        <f>+Inputs!Y123</f>
        <v>2985</v>
      </c>
      <c r="F44" s="211">
        <f>+Inputs!AB123</f>
        <v>157</v>
      </c>
      <c r="G44" s="211">
        <f>+Inputs!AD123</f>
        <v>98</v>
      </c>
    </row>
    <row r="45" spans="1:8" x14ac:dyDescent="0.2">
      <c r="A45" s="210">
        <v>44958</v>
      </c>
      <c r="B45" s="211">
        <f>+Inputs!Q124</f>
        <v>11570</v>
      </c>
      <c r="C45" s="211">
        <f>+Inputs!S124</f>
        <v>1159</v>
      </c>
      <c r="D45" s="211">
        <f>+Inputs!V124</f>
        <v>126</v>
      </c>
      <c r="E45" s="211">
        <f>+Inputs!Y124</f>
        <v>2985</v>
      </c>
      <c r="F45" s="211">
        <f>+Inputs!AB124</f>
        <v>157</v>
      </c>
      <c r="G45" s="211">
        <f>+Inputs!AD124</f>
        <v>98</v>
      </c>
    </row>
    <row r="46" spans="1:8" x14ac:dyDescent="0.2">
      <c r="A46" s="210">
        <v>44986</v>
      </c>
      <c r="B46" s="211">
        <f>+Inputs!Q125</f>
        <v>11579</v>
      </c>
      <c r="C46" s="211">
        <f>+Inputs!S125</f>
        <v>1160</v>
      </c>
      <c r="D46" s="211">
        <f>+Inputs!V125</f>
        <v>126</v>
      </c>
      <c r="E46" s="211">
        <f>+Inputs!Y125</f>
        <v>2985</v>
      </c>
      <c r="F46" s="211">
        <f>+Inputs!AB125</f>
        <v>157</v>
      </c>
      <c r="G46" s="211">
        <f>+Inputs!AD125</f>
        <v>98</v>
      </c>
    </row>
    <row r="47" spans="1:8" x14ac:dyDescent="0.2">
      <c r="A47" s="210">
        <v>45017</v>
      </c>
      <c r="B47" s="211">
        <f>+Inputs!Q126</f>
        <v>11585</v>
      </c>
      <c r="C47" s="211">
        <f>+Inputs!S126</f>
        <v>1160</v>
      </c>
      <c r="D47" s="211">
        <f>+Inputs!V126</f>
        <v>126</v>
      </c>
      <c r="E47" s="211">
        <f>+Inputs!Y126</f>
        <v>2985</v>
      </c>
      <c r="F47" s="211">
        <f>+Inputs!AB126</f>
        <v>157</v>
      </c>
      <c r="G47" s="211">
        <f>+Inputs!AD126</f>
        <v>98</v>
      </c>
    </row>
    <row r="48" spans="1:8" x14ac:dyDescent="0.2">
      <c r="A48" s="210">
        <v>45047</v>
      </c>
      <c r="B48" s="211">
        <f>+Inputs!Q127</f>
        <v>11595</v>
      </c>
      <c r="C48" s="211">
        <f>+Inputs!S127</f>
        <v>1158</v>
      </c>
      <c r="D48" s="211">
        <f>+Inputs!V127</f>
        <v>126</v>
      </c>
      <c r="E48" s="211">
        <f>+Inputs!Y127</f>
        <v>2952</v>
      </c>
      <c r="F48" s="211">
        <f>+Inputs!AB127</f>
        <v>157</v>
      </c>
      <c r="G48" s="211">
        <f>+Inputs!AD127</f>
        <v>98</v>
      </c>
    </row>
    <row r="49" spans="1:7" x14ac:dyDescent="0.2">
      <c r="A49" s="210">
        <v>45078</v>
      </c>
      <c r="B49" s="211">
        <f>+Inputs!Q128</f>
        <v>11595</v>
      </c>
      <c r="C49" s="211">
        <f>+Inputs!S128</f>
        <v>1158</v>
      </c>
      <c r="D49" s="211">
        <f>+Inputs!V128</f>
        <v>126</v>
      </c>
      <c r="E49" s="211">
        <f>+Inputs!Y128</f>
        <v>2952</v>
      </c>
      <c r="F49" s="211">
        <f>+Inputs!AB128</f>
        <v>157</v>
      </c>
      <c r="G49" s="211">
        <f>+Inputs!AD128</f>
        <v>98</v>
      </c>
    </row>
    <row r="50" spans="1:7" x14ac:dyDescent="0.2">
      <c r="A50" s="210">
        <v>45108</v>
      </c>
      <c r="B50" s="211">
        <f>+Inputs!Q129</f>
        <v>11613</v>
      </c>
      <c r="C50" s="211">
        <f>+Inputs!S129</f>
        <v>1158</v>
      </c>
      <c r="D50" s="211">
        <f>+Inputs!V129</f>
        <v>126</v>
      </c>
      <c r="E50" s="211">
        <f>+Inputs!Y129</f>
        <v>2952</v>
      </c>
      <c r="F50" s="211">
        <f>+Inputs!AB129</f>
        <v>157</v>
      </c>
      <c r="G50" s="211">
        <f>+Inputs!AD129</f>
        <v>98</v>
      </c>
    </row>
    <row r="51" spans="1:7" x14ac:dyDescent="0.2">
      <c r="A51" s="210">
        <v>45139</v>
      </c>
      <c r="B51" s="211">
        <f>+Inputs!Q130</f>
        <v>11622</v>
      </c>
      <c r="C51" s="211">
        <f>+Inputs!S130</f>
        <v>1158</v>
      </c>
      <c r="D51" s="211">
        <f>+Inputs!V130</f>
        <v>126</v>
      </c>
      <c r="E51" s="211">
        <f>+Inputs!Y130</f>
        <v>2952</v>
      </c>
      <c r="F51" s="211">
        <f>+Inputs!AB130</f>
        <v>157</v>
      </c>
      <c r="G51" s="211">
        <f>+Inputs!AD130</f>
        <v>98</v>
      </c>
    </row>
    <row r="52" spans="1:7" x14ac:dyDescent="0.2">
      <c r="A52" s="210">
        <v>45170</v>
      </c>
      <c r="B52" s="211">
        <f>+Inputs!Q131</f>
        <v>11639</v>
      </c>
      <c r="C52" s="211">
        <f>+Inputs!S131</f>
        <v>1175</v>
      </c>
      <c r="D52" s="211">
        <f>+Inputs!V131</f>
        <v>126</v>
      </c>
      <c r="E52" s="211">
        <f>+Inputs!Y131</f>
        <v>2952</v>
      </c>
      <c r="F52" s="211">
        <f>+Inputs!AB131</f>
        <v>157</v>
      </c>
      <c r="G52" s="211">
        <f>+Inputs!AD131</f>
        <v>95</v>
      </c>
    </row>
    <row r="53" spans="1:7" x14ac:dyDescent="0.2">
      <c r="A53" s="210">
        <v>45200</v>
      </c>
      <c r="B53" s="211">
        <f>+Inputs!Q132</f>
        <v>11657</v>
      </c>
      <c r="C53" s="211">
        <f>+Inputs!S132</f>
        <v>1174</v>
      </c>
      <c r="D53" s="211">
        <f>+Inputs!V132</f>
        <v>126</v>
      </c>
      <c r="E53" s="211">
        <f>+Inputs!Y132</f>
        <v>2952</v>
      </c>
      <c r="F53" s="211">
        <f>+Inputs!AB132</f>
        <v>157</v>
      </c>
      <c r="G53" s="211">
        <f>+Inputs!AD132</f>
        <v>95</v>
      </c>
    </row>
    <row r="54" spans="1:7" x14ac:dyDescent="0.2">
      <c r="A54" s="210">
        <v>45231</v>
      </c>
      <c r="B54" s="211">
        <f>+Inputs!Q133</f>
        <v>11668</v>
      </c>
      <c r="C54" s="211">
        <f>+Inputs!S133</f>
        <v>1175</v>
      </c>
      <c r="D54" s="211">
        <f>+Inputs!V133</f>
        <v>126</v>
      </c>
      <c r="E54" s="211">
        <f>+Inputs!Y133</f>
        <v>2952</v>
      </c>
      <c r="F54" s="211">
        <f>+Inputs!AB133</f>
        <v>157</v>
      </c>
      <c r="G54" s="211">
        <f>+Inputs!AD133</f>
        <v>95</v>
      </c>
    </row>
    <row r="55" spans="1:7" x14ac:dyDescent="0.2">
      <c r="A55" s="210">
        <v>45261</v>
      </c>
      <c r="B55" s="211">
        <f>+Inputs!Q134</f>
        <v>11668</v>
      </c>
      <c r="C55" s="211">
        <f>+Inputs!S134</f>
        <v>1175</v>
      </c>
      <c r="D55" s="211">
        <f>+Inputs!V134</f>
        <v>127</v>
      </c>
      <c r="E55" s="211">
        <f>+Inputs!Y134</f>
        <v>2952</v>
      </c>
      <c r="F55" s="211">
        <f>+Inputs!AB134</f>
        <v>157</v>
      </c>
      <c r="G55" s="211">
        <f>+Inputs!AD134</f>
        <v>95</v>
      </c>
    </row>
    <row r="56" spans="1:7" x14ac:dyDescent="0.2">
      <c r="A56" s="198"/>
      <c r="B56" s="206"/>
      <c r="C56" s="206"/>
      <c r="D56" s="206"/>
      <c r="E56" s="206"/>
      <c r="F56" s="206"/>
      <c r="G56" s="206"/>
    </row>
    <row r="57" spans="1:7" x14ac:dyDescent="0.2">
      <c r="A57" s="210" t="s">
        <v>266</v>
      </c>
      <c r="B57" s="212">
        <f>AVERAGE(B44:B55)</f>
        <v>11612.666666666666</v>
      </c>
      <c r="C57" s="212">
        <f t="shared" ref="C57:G57" si="17">AVERAGE(C44:C55)</f>
        <v>1164.25</v>
      </c>
      <c r="D57" s="212">
        <f t="shared" si="17"/>
        <v>126</v>
      </c>
      <c r="E57" s="212">
        <f t="shared" si="17"/>
        <v>2963</v>
      </c>
      <c r="F57" s="212">
        <f t="shared" si="17"/>
        <v>157</v>
      </c>
      <c r="G57" s="212">
        <f t="shared" si="17"/>
        <v>97</v>
      </c>
    </row>
    <row r="58" spans="1:7" x14ac:dyDescent="0.2">
      <c r="A58" s="213" t="s">
        <v>267</v>
      </c>
      <c r="B58" s="214">
        <f t="shared" ref="B58:G58" si="18">+B57/B20</f>
        <v>1.0074973791707333</v>
      </c>
      <c r="C58" s="214">
        <f t="shared" si="18"/>
        <v>0.99807115302186022</v>
      </c>
      <c r="D58" s="214">
        <f t="shared" si="18"/>
        <v>1.0019880715705765</v>
      </c>
      <c r="E58" s="214">
        <f t="shared" si="18"/>
        <v>0.99262981574539366</v>
      </c>
      <c r="F58" s="214">
        <f t="shared" si="18"/>
        <v>0.99841017488076311</v>
      </c>
      <c r="G58" s="214">
        <f t="shared" si="18"/>
        <v>0.98979591836734693</v>
      </c>
    </row>
    <row r="59" spans="1:7" x14ac:dyDescent="0.2">
      <c r="A59" s="213" t="s">
        <v>268</v>
      </c>
      <c r="B59" s="214">
        <f t="shared" ref="B59:G59" si="19">GEOMEAN(B26:B34,B58)</f>
        <v>1.0129403873976082</v>
      </c>
      <c r="C59" s="214">
        <f t="shared" si="19"/>
        <v>1.003636201989585</v>
      </c>
      <c r="D59" s="214">
        <f t="shared" si="19"/>
        <v>1.0010644058988085</v>
      </c>
      <c r="E59" s="214">
        <f t="shared" si="19"/>
        <v>1.0037580386604306</v>
      </c>
      <c r="F59" s="214">
        <f t="shared" si="19"/>
        <v>1.0006391840009647</v>
      </c>
      <c r="G59" s="214">
        <f t="shared" si="19"/>
        <v>0.99329525968580479</v>
      </c>
    </row>
    <row r="60" spans="1:7" x14ac:dyDescent="0.2">
      <c r="A60" s="206"/>
      <c r="B60" s="212"/>
      <c r="C60" s="206"/>
      <c r="D60" s="206"/>
      <c r="E60" s="206"/>
      <c r="F60" s="206"/>
      <c r="G60" s="206"/>
    </row>
    <row r="61" spans="1:7" x14ac:dyDescent="0.2">
      <c r="A61" s="213" t="s">
        <v>269</v>
      </c>
      <c r="B61" s="211">
        <f>ROUND(B57*B59,0)</f>
        <v>11763</v>
      </c>
      <c r="C61" s="211">
        <f t="shared" ref="C61:G61" si="20">ROUND(C57*C59,0)</f>
        <v>1168</v>
      </c>
      <c r="D61" s="211">
        <f t="shared" si="20"/>
        <v>126</v>
      </c>
      <c r="E61" s="211">
        <f t="shared" si="20"/>
        <v>2974</v>
      </c>
      <c r="F61" s="211">
        <f t="shared" si="20"/>
        <v>157</v>
      </c>
      <c r="G61" s="211">
        <f t="shared" si="20"/>
        <v>96</v>
      </c>
    </row>
    <row r="62" spans="1:7" x14ac:dyDescent="0.2">
      <c r="B62"/>
      <c r="C62"/>
      <c r="D62"/>
      <c r="E62"/>
      <c r="F62"/>
      <c r="G62"/>
    </row>
    <row r="63" spans="1:7" x14ac:dyDescent="0.2">
      <c r="B63"/>
      <c r="C63"/>
      <c r="D63"/>
      <c r="E63"/>
      <c r="F63"/>
      <c r="G63"/>
    </row>
    <row r="64" spans="1:7" x14ac:dyDescent="0.2">
      <c r="B64"/>
      <c r="C64"/>
      <c r="D64"/>
      <c r="E64"/>
      <c r="F64"/>
      <c r="G64"/>
    </row>
    <row r="65" customFormat="1" x14ac:dyDescent="0.2"/>
    <row r="66" customFormat="1" x14ac:dyDescent="0.2"/>
    <row r="67" customFormat="1" x14ac:dyDescent="0.2"/>
    <row r="68" customFormat="1" x14ac:dyDescent="0.2"/>
    <row r="69" customFormat="1" x14ac:dyDescent="0.2"/>
    <row r="70" customFormat="1" x14ac:dyDescent="0.2"/>
    <row r="71" customFormat="1" x14ac:dyDescent="0.2"/>
    <row r="72" customFormat="1" x14ac:dyDescent="0.2"/>
    <row r="73" customFormat="1" x14ac:dyDescent="0.2"/>
    <row r="74" customFormat="1" x14ac:dyDescent="0.2"/>
    <row r="75" customFormat="1" x14ac:dyDescent="0.2"/>
    <row r="76" customFormat="1" x14ac:dyDescent="0.2"/>
    <row r="77" customFormat="1" x14ac:dyDescent="0.2"/>
    <row r="78" customFormat="1" x14ac:dyDescent="0.2"/>
    <row r="79" customFormat="1" x14ac:dyDescent="0.2"/>
    <row r="80" customFormat="1" x14ac:dyDescent="0.2"/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</sheetData>
  <mergeCells count="1">
    <mergeCell ref="B1:G1"/>
  </mergeCells>
  <phoneticPr fontId="0" type="noConversion"/>
  <pageMargins left="0.38" right="0.75" top="0.73" bottom="0.74" header="0.5" footer="0.5"/>
  <pageSetup scale="84" orientation="landscape" r:id="rId1"/>
  <headerFooter alignWithMargins="0">
    <oddFooter>&amp;L&amp;Z&amp;F</oddFooter>
  </headerFooter>
  <ignoredErrors>
    <ignoredError sqref="H11:H22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pageSetUpPr fitToPage="1"/>
  </sheetPr>
  <dimension ref="A1:M55"/>
  <sheetViews>
    <sheetView tabSelected="1" workbookViewId="0">
      <selection activeCell="H17" sqref="H17"/>
    </sheetView>
  </sheetViews>
  <sheetFormatPr defaultRowHeight="12.75" x14ac:dyDescent="0.2"/>
  <cols>
    <col min="1" max="1" width="28.85546875" customWidth="1"/>
    <col min="2" max="2" width="14.140625" style="6" bestFit="1" customWidth="1"/>
    <col min="3" max="4" width="12.5703125" style="6" customWidth="1"/>
    <col min="5" max="5" width="13.42578125" customWidth="1"/>
    <col min="6" max="6" width="13" customWidth="1"/>
    <col min="7" max="7" width="13.42578125" customWidth="1"/>
    <col min="8" max="8" width="12.5703125" bestFit="1" customWidth="1"/>
    <col min="10" max="10" width="12.42578125" style="6" bestFit="1" customWidth="1"/>
    <col min="11" max="11" width="13.42578125" bestFit="1" customWidth="1"/>
    <col min="12" max="13" width="9.140625" style="6" customWidth="1"/>
  </cols>
  <sheetData>
    <row r="1" spans="1:10" ht="38.25" x14ac:dyDescent="0.2">
      <c r="A1" s="176" t="s">
        <v>111</v>
      </c>
      <c r="B1" s="176" t="str">
        <f>'Rate Class Customer Model'!D2</f>
        <v>General Service &gt; 50 to 999 kW</v>
      </c>
      <c r="C1" s="176" t="str">
        <f>'Rate Class Customer Model'!E2</f>
        <v>Street Lights</v>
      </c>
      <c r="D1" s="176" t="str">
        <f>'Rate Class Customer Model'!F2</f>
        <v>Sentinel Lights</v>
      </c>
      <c r="E1" s="67" t="s">
        <v>11</v>
      </c>
      <c r="J1" s="8"/>
    </row>
    <row r="2" spans="1:10" x14ac:dyDescent="0.2">
      <c r="A2" s="23">
        <f>+'Rate Class Customer Model'!A11</f>
        <v>2013</v>
      </c>
      <c r="B2" s="43">
        <f>SUMIF(Inputs!B:B,'Rate Class Load Model'!$A2,Inputs!U:U)</f>
        <v>290086.77981047268</v>
      </c>
      <c r="C2" s="43">
        <f>SUMIF(Inputs!$B:$B,A2,Inputs!X:X)</f>
        <v>4780.3</v>
      </c>
      <c r="D2" s="43">
        <f>SUMIF(Inputs!$B:$B,A2,Inputs!AA:AA)</f>
        <v>292.3</v>
      </c>
      <c r="E2" s="57">
        <f t="shared" ref="E2:E9" si="0">SUM(B2:D2)</f>
        <v>295159.37981047266</v>
      </c>
      <c r="F2" s="47" t="s">
        <v>148</v>
      </c>
    </row>
    <row r="3" spans="1:10" x14ac:dyDescent="0.2">
      <c r="A3" s="23">
        <f>+'Rate Class Customer Model'!A12</f>
        <v>2014</v>
      </c>
      <c r="B3" s="43">
        <f>SUMIF(Inputs!B:B,'Rate Class Load Model'!$A3,Inputs!U:U)</f>
        <v>295326.6614777061</v>
      </c>
      <c r="C3" s="43">
        <f>SUMIF(Inputs!$B:$B,A3,Inputs!X:X)</f>
        <v>4826.93</v>
      </c>
      <c r="D3" s="43">
        <f>SUMIF(Inputs!$B:$B,A3,Inputs!AA:AA)</f>
        <v>289.40000000000003</v>
      </c>
      <c r="E3" s="57">
        <f t="shared" si="0"/>
        <v>300442.99147770612</v>
      </c>
    </row>
    <row r="4" spans="1:10" x14ac:dyDescent="0.2">
      <c r="A4" s="23">
        <f>+'Rate Class Customer Model'!A13</f>
        <v>2015</v>
      </c>
      <c r="B4" s="43">
        <f>SUMIF(Inputs!B:B,'Rate Class Load Model'!$A4,Inputs!U:U)</f>
        <v>290455.41448504326</v>
      </c>
      <c r="C4" s="43">
        <f>SUMIF(Inputs!$B:$B,A4,Inputs!X:X)</f>
        <v>4599.0700000000006</v>
      </c>
      <c r="D4" s="43">
        <f>SUMIF(Inputs!$B:$B,A4,Inputs!AA:AA)</f>
        <v>286.49</v>
      </c>
      <c r="E4" s="57">
        <f t="shared" si="0"/>
        <v>295340.97448504326</v>
      </c>
      <c r="J4" s="44"/>
    </row>
    <row r="5" spans="1:10" x14ac:dyDescent="0.2">
      <c r="A5" s="23">
        <f>+'Rate Class Customer Model'!A14</f>
        <v>2016</v>
      </c>
      <c r="B5" s="43">
        <f>SUMIF(Inputs!B:B,'Rate Class Load Model'!$A5,Inputs!U:U)</f>
        <v>308868.24605865555</v>
      </c>
      <c r="C5" s="43">
        <f>SUMIF(Inputs!$B:$B,A5,Inputs!X:X)</f>
        <v>2461.8700000000003</v>
      </c>
      <c r="D5" s="43">
        <f>SUMIF(Inputs!$B:$B,A5,Inputs!AA:AA)</f>
        <v>289.30000000000007</v>
      </c>
      <c r="E5" s="57">
        <f t="shared" si="0"/>
        <v>311619.41605865554</v>
      </c>
      <c r="J5" s="44"/>
    </row>
    <row r="6" spans="1:10" x14ac:dyDescent="0.2">
      <c r="A6" s="23">
        <f>+'Rate Class Customer Model'!A15</f>
        <v>2017</v>
      </c>
      <c r="B6" s="43">
        <f>SUMIF(Inputs!B:B,'Rate Class Load Model'!$A6,Inputs!U:U)</f>
        <v>297257.4140142221</v>
      </c>
      <c r="C6" s="43">
        <f>SUMIF(Inputs!$B:$B,A6,Inputs!X:X)</f>
        <v>2404.58</v>
      </c>
      <c r="D6" s="43">
        <f>SUMIF(Inputs!$B:$B,A6,Inputs!AA:AA)</f>
        <v>310.00000000000006</v>
      </c>
      <c r="E6" s="57">
        <f t="shared" si="0"/>
        <v>299971.99401422212</v>
      </c>
      <c r="J6" s="44"/>
    </row>
    <row r="7" spans="1:10" x14ac:dyDescent="0.2">
      <c r="A7" s="23">
        <f>+'Rate Class Customer Model'!A16</f>
        <v>2018</v>
      </c>
      <c r="B7" s="43">
        <f>SUMIF(Inputs!B:B,'Rate Class Load Model'!$A7,Inputs!U:U)</f>
        <v>299851.59780658461</v>
      </c>
      <c r="C7" s="43">
        <f>SUMIF(Inputs!$B:$B,A7,Inputs!X:X)</f>
        <v>2423.3099999999995</v>
      </c>
      <c r="D7" s="43">
        <f>SUMIF(Inputs!$B:$B,A7,Inputs!AA:AA)</f>
        <v>280.60000000000002</v>
      </c>
      <c r="E7" s="57">
        <f t="shared" si="0"/>
        <v>302555.50780658459</v>
      </c>
      <c r="J7" s="44"/>
    </row>
    <row r="8" spans="1:10" x14ac:dyDescent="0.2">
      <c r="A8" s="23">
        <f>+'Rate Class Customer Model'!A17</f>
        <v>2019</v>
      </c>
      <c r="B8" s="43">
        <f>SUMIF(Inputs!B:B,'Rate Class Load Model'!$A8,Inputs!U:U)</f>
        <v>300898.82119152404</v>
      </c>
      <c r="C8" s="43">
        <f>SUMIF(Inputs!$B:$B,A8,Inputs!X:X)</f>
        <v>2459.6399999999994</v>
      </c>
      <c r="D8" s="43">
        <f>SUMIF(Inputs!$B:$B,A8,Inputs!AA:AA)</f>
        <v>283.8</v>
      </c>
      <c r="E8" s="57">
        <f t="shared" si="0"/>
        <v>303642.26119152404</v>
      </c>
      <c r="J8" s="44"/>
    </row>
    <row r="9" spans="1:10" x14ac:dyDescent="0.2">
      <c r="A9" s="23">
        <f>+'Rate Class Customer Model'!A18</f>
        <v>2020</v>
      </c>
      <c r="B9" s="43">
        <f>SUMIF(Inputs!B:B,'Rate Class Load Model'!$A9,Inputs!U:U)</f>
        <v>281171.19930808013</v>
      </c>
      <c r="C9" s="43">
        <f>SUMIF(Inputs!$B:$B,A9,Inputs!X:X)</f>
        <v>2445.92</v>
      </c>
      <c r="D9" s="43">
        <f>SUMIF(Inputs!$B:$B,A9,Inputs!AA:AA)</f>
        <v>282.2</v>
      </c>
      <c r="E9" s="57">
        <f t="shared" si="0"/>
        <v>283899.31930808013</v>
      </c>
    </row>
    <row r="10" spans="1:10" x14ac:dyDescent="0.2">
      <c r="A10" s="23">
        <f>+'Rate Class Customer Model'!A19</f>
        <v>2021</v>
      </c>
      <c r="B10" s="43">
        <f>SUMIF(Inputs!B:B,'Rate Class Load Model'!$A10,Inputs!U:U)</f>
        <v>301675.62</v>
      </c>
      <c r="C10" s="43">
        <f>SUMIF(Inputs!$B:$B,A10,Inputs!X:X)</f>
        <v>2420.3500000000004</v>
      </c>
      <c r="D10" s="43">
        <f>SUMIF(Inputs!$B:$B,A10,Inputs!AA:AA)</f>
        <v>282</v>
      </c>
      <c r="E10" s="57">
        <f t="shared" ref="E10:E11" si="1">SUM(B10:D10)</f>
        <v>304377.96999999997</v>
      </c>
    </row>
    <row r="11" spans="1:10" x14ac:dyDescent="0.2">
      <c r="A11" s="23">
        <f>+'Rate Class Customer Model'!A20</f>
        <v>2022</v>
      </c>
      <c r="B11" s="43">
        <f>SUMIF(Inputs!B:B,'Rate Class Load Model'!$A11,Inputs!U:U)</f>
        <v>317681.46000000008</v>
      </c>
      <c r="C11" s="43">
        <f>SUMIF(Inputs!$B:$B,A11,Inputs!X:X)</f>
        <v>2434.08</v>
      </c>
      <c r="D11" s="43">
        <f>SUMIF(Inputs!$B:$B,A11,Inputs!AA:AA)</f>
        <v>278.2</v>
      </c>
      <c r="E11" s="57">
        <f t="shared" si="1"/>
        <v>320393.74000000011</v>
      </c>
    </row>
    <row r="12" spans="1:10" x14ac:dyDescent="0.2">
      <c r="A12" s="23">
        <f>+'Rate Class Customer Model'!A21</f>
        <v>2023</v>
      </c>
      <c r="B12" s="24">
        <f>B28*'Rate Class Energy Model'!J32</f>
        <v>312958.84992735123</v>
      </c>
      <c r="C12" s="24">
        <f>C28*'Rate Class Energy Model'!K32</f>
        <v>2424.0839715283414</v>
      </c>
      <c r="D12" s="24">
        <f>D28*'Rate Class Energy Model'!L32</f>
        <v>275.53977957995676</v>
      </c>
      <c r="E12" s="57">
        <f>SUM(B12:D12)</f>
        <v>315658.47367845953</v>
      </c>
    </row>
    <row r="13" spans="1:10" x14ac:dyDescent="0.2">
      <c r="A13" s="23">
        <f>+'Rate Class Customer Model'!A22</f>
        <v>2024</v>
      </c>
      <c r="B13" s="24">
        <f>B35</f>
        <v>317655.44335731986</v>
      </c>
      <c r="C13" s="24">
        <f t="shared" ref="C13:D13" si="2">C35</f>
        <v>2415.7713744567136</v>
      </c>
      <c r="D13" s="24">
        <f t="shared" si="2"/>
        <v>275.71590019869365</v>
      </c>
      <c r="E13" s="57">
        <f>SUM(B13:D13)</f>
        <v>320346.93063197524</v>
      </c>
    </row>
    <row r="15" spans="1:10" x14ac:dyDescent="0.2">
      <c r="A15" s="15" t="s">
        <v>58</v>
      </c>
      <c r="B15" s="5"/>
      <c r="C15" s="5"/>
      <c r="D15" s="5"/>
    </row>
    <row r="16" spans="1:10" x14ac:dyDescent="0.2">
      <c r="A16" s="23">
        <f>+A2</f>
        <v>2013</v>
      </c>
      <c r="B16" s="68">
        <f>B2/'Rate Class Energy Model'!J3</f>
        <v>2.3982272063622898E-3</v>
      </c>
      <c r="C16" s="68">
        <f>C2/'Rate Class Energy Model'!K3</f>
        <v>2.7906368629113556E-3</v>
      </c>
      <c r="D16" s="68">
        <f>D2/'Rate Class Energy Model'!L3</f>
        <v>2.7572477486214535E-3</v>
      </c>
      <c r="J16" s="21"/>
    </row>
    <row r="17" spans="1:10" x14ac:dyDescent="0.2">
      <c r="A17" s="23">
        <f t="shared" ref="A17:A25" si="3">+A3</f>
        <v>2014</v>
      </c>
      <c r="B17" s="68">
        <f>B3/'Rate Class Energy Model'!J4</f>
        <v>2.3797838765875845E-3</v>
      </c>
      <c r="C17" s="68">
        <f>C3/'Rate Class Energy Model'!K4</f>
        <v>2.7874880048634732E-3</v>
      </c>
      <c r="D17" s="68">
        <f>D3/'Rate Class Energy Model'!L4</f>
        <v>2.7526985402158205E-3</v>
      </c>
      <c r="J17" s="21"/>
    </row>
    <row r="18" spans="1:10" x14ac:dyDescent="0.2">
      <c r="A18" s="23">
        <f t="shared" si="3"/>
        <v>2015</v>
      </c>
      <c r="B18" s="68">
        <f>B4/'Rate Class Energy Model'!J5</f>
        <v>2.3166330771645072E-3</v>
      </c>
      <c r="C18" s="68">
        <f>C4/'Rate Class Energy Model'!K5</f>
        <v>2.8218169429424914E-3</v>
      </c>
      <c r="D18" s="68">
        <f>D4/'Rate Class Energy Model'!L5</f>
        <v>2.7539172235490042E-3</v>
      </c>
      <c r="J18" s="21"/>
    </row>
    <row r="19" spans="1:10" x14ac:dyDescent="0.2">
      <c r="A19" s="23">
        <f t="shared" si="3"/>
        <v>2016</v>
      </c>
      <c r="B19" s="68">
        <f>B5/'Rate Class Energy Model'!J6</f>
        <v>2.4192901394013274E-3</v>
      </c>
      <c r="C19" s="68">
        <f>C5/'Rate Class Energy Model'!K6</f>
        <v>2.7640990892552953E-3</v>
      </c>
      <c r="D19" s="68">
        <f>D5/'Rate Class Energy Model'!L6</f>
        <v>2.7404934913300583E-3</v>
      </c>
      <c r="J19" s="21"/>
    </row>
    <row r="20" spans="1:10" x14ac:dyDescent="0.2">
      <c r="A20" s="23">
        <f t="shared" si="3"/>
        <v>2017</v>
      </c>
      <c r="B20" s="68">
        <f>B6/'Rate Class Energy Model'!J7</f>
        <v>2.3569163046961447E-3</v>
      </c>
      <c r="C20" s="68">
        <f>C6/'Rate Class Energy Model'!K7</f>
        <v>2.7853527029364509E-3</v>
      </c>
      <c r="D20" s="68">
        <f>D6/'Rate Class Energy Model'!L7</f>
        <v>2.9986114010562798E-3</v>
      </c>
      <c r="J20" s="21"/>
    </row>
    <row r="21" spans="1:10" x14ac:dyDescent="0.2">
      <c r="A21" s="23">
        <f t="shared" si="3"/>
        <v>2018</v>
      </c>
      <c r="B21" s="68">
        <f>B7/'Rate Class Energy Model'!J8</f>
        <v>2.3212966066198919E-3</v>
      </c>
      <c r="C21" s="68">
        <f>C7/'Rate Class Energy Model'!K8</f>
        <v>2.7825179935884246E-3</v>
      </c>
      <c r="D21" s="68">
        <f>D7/'Rate Class Energy Model'!L8</f>
        <v>2.7395847393533487E-3</v>
      </c>
      <c r="J21" s="21"/>
    </row>
    <row r="22" spans="1:10" x14ac:dyDescent="0.2">
      <c r="A22" s="23">
        <f t="shared" si="3"/>
        <v>2019</v>
      </c>
      <c r="B22" s="68">
        <f>B8/'Rate Class Energy Model'!J9</f>
        <v>2.3424501364392655E-3</v>
      </c>
      <c r="C22" s="68">
        <f>C8/'Rate Class Energy Model'!K9</f>
        <v>2.7840857325401513E-3</v>
      </c>
      <c r="D22" s="68">
        <f>D8/'Rate Class Energy Model'!L9</f>
        <v>2.7619208210585486E-3</v>
      </c>
      <c r="J22" s="21"/>
    </row>
    <row r="23" spans="1:10" x14ac:dyDescent="0.2">
      <c r="A23" s="23">
        <f t="shared" si="3"/>
        <v>2020</v>
      </c>
      <c r="B23" s="68">
        <f>B9/'Rate Class Energy Model'!J10</f>
        <v>2.2464609508118611E-3</v>
      </c>
      <c r="C23" s="68">
        <f>C9/'Rate Class Energy Model'!K10</f>
        <v>2.7741249163767421E-3</v>
      </c>
      <c r="D23" s="68">
        <f>D9/'Rate Class Energy Model'!L10</f>
        <v>2.7463244927531656E-3</v>
      </c>
      <c r="J23" s="21"/>
    </row>
    <row r="24" spans="1:10" x14ac:dyDescent="0.2">
      <c r="A24" s="23">
        <f t="shared" si="3"/>
        <v>2021</v>
      </c>
      <c r="B24" s="68">
        <f>B10/'Rate Class Energy Model'!J11</f>
        <v>2.3071013537613577E-3</v>
      </c>
      <c r="C24" s="68">
        <f>C10/'Rate Class Energy Model'!K11</f>
        <v>2.7816347513433823E-3</v>
      </c>
      <c r="D24" s="68">
        <f>D10/'Rate Class Energy Model'!L11</f>
        <v>2.7518957653752639E-3</v>
      </c>
      <c r="J24" s="21"/>
    </row>
    <row r="25" spans="1:10" x14ac:dyDescent="0.2">
      <c r="A25" s="23">
        <f t="shared" si="3"/>
        <v>2022</v>
      </c>
      <c r="B25" s="68">
        <f>B11/'Rate Class Energy Model'!J12</f>
        <v>2.3331590702885003E-3</v>
      </c>
      <c r="C25" s="68">
        <f>C11/'Rate Class Energy Model'!K12</f>
        <v>2.7817857552847798E-3</v>
      </c>
      <c r="D25" s="68">
        <f>D11/'Rate Class Energy Model'!L12</f>
        <v>2.7891689172274774E-3</v>
      </c>
      <c r="J25" s="21"/>
    </row>
    <row r="26" spans="1:10" x14ac:dyDescent="0.2">
      <c r="A26" s="206" t="s">
        <v>276</v>
      </c>
      <c r="B26" s="227">
        <f>SUM(Inputs!U123:U131)/SUM(Inputs!T123:T131)</f>
        <v>2.4606286863658937E-3</v>
      </c>
      <c r="C26" s="227">
        <f>SUM(Inputs!X123:X131)/SUM(Inputs!W123:W131)</f>
        <v>2.9989721651683516E-3</v>
      </c>
      <c r="D26" s="227">
        <f>SUM(Inputs!AA123:AA131)/SUM(Inputs!Z123:Z131)</f>
        <v>2.7842932977283335E-3</v>
      </c>
    </row>
    <row r="27" spans="1:10" x14ac:dyDescent="0.2">
      <c r="B27"/>
      <c r="C27"/>
      <c r="D27"/>
    </row>
    <row r="28" spans="1:10" x14ac:dyDescent="0.2">
      <c r="A28" s="47" t="s">
        <v>55</v>
      </c>
      <c r="B28" s="21">
        <f>B30</f>
        <v>2.352904309863511E-3</v>
      </c>
      <c r="C28" s="21">
        <f>+C30</f>
        <v>2.8047740833828088E-3</v>
      </c>
      <c r="D28" s="21">
        <f>+D30</f>
        <v>2.7796505852971595E-3</v>
      </c>
    </row>
    <row r="30" spans="1:10" x14ac:dyDescent="0.2">
      <c r="A30" s="206" t="s">
        <v>15</v>
      </c>
      <c r="B30" s="228">
        <f>AVERAGE(B16:B26)</f>
        <v>2.352904309863511E-3</v>
      </c>
      <c r="C30" s="228">
        <f t="shared" ref="C30:D30" si="4">AVERAGE(C16:C26)</f>
        <v>2.8047740833828088E-3</v>
      </c>
      <c r="D30" s="228">
        <f t="shared" si="4"/>
        <v>2.7796505852971595E-3</v>
      </c>
      <c r="E30" s="47" t="s">
        <v>277</v>
      </c>
      <c r="I30" s="21"/>
      <c r="J30" s="21"/>
    </row>
    <row r="32" spans="1:10" x14ac:dyDescent="0.2">
      <c r="A32" s="229" t="s">
        <v>278</v>
      </c>
      <c r="B32" s="237">
        <f>SUM(Inputs!U120:U131)/SUM(Inputs!T120:T131)</f>
        <v>2.4321783102265382E-3</v>
      </c>
      <c r="C32" s="237">
        <f>SUM(Inputs!X120:X131)/SUM(Inputs!W120:W131)</f>
        <v>2.778058890163733E-3</v>
      </c>
      <c r="D32" s="237" cm="1">
        <f t="array" ref="D32">SUM(Inputs!AA120:AA131/SUM(Inputs!Z120:Z131))</f>
        <v>2.7842932977283339E-3</v>
      </c>
      <c r="E32" s="234" t="s">
        <v>279</v>
      </c>
    </row>
    <row r="33" spans="1:5" x14ac:dyDescent="0.2">
      <c r="A33" s="229" t="s">
        <v>285</v>
      </c>
      <c r="B33" s="242">
        <f>AVERAGE(B16:B25,B32)</f>
        <v>2.3503179120326605E-3</v>
      </c>
      <c r="C33" s="242">
        <f>AVERAGE(C16:C25,C32)</f>
        <v>2.7846910583823894E-3</v>
      </c>
      <c r="D33" s="242">
        <f>AVERAGE(D16:D25,D32)</f>
        <v>2.7796505852971595E-3</v>
      </c>
      <c r="E33" s="234" t="s">
        <v>279</v>
      </c>
    </row>
    <row r="34" spans="1:5" x14ac:dyDescent="0.2">
      <c r="A34" s="221"/>
      <c r="B34" s="219"/>
      <c r="C34" s="219"/>
      <c r="D34" s="219"/>
    </row>
    <row r="35" spans="1:5" x14ac:dyDescent="0.2">
      <c r="A35" s="221" t="s">
        <v>283</v>
      </c>
      <c r="B35" s="243">
        <f>+B33*'Rate Class Energy Model'!J33</f>
        <v>317655.44335731986</v>
      </c>
      <c r="C35" s="243">
        <f>+C33*'Rate Class Energy Model'!K33</f>
        <v>2415.7713744567136</v>
      </c>
      <c r="D35" s="243">
        <f>+D33*'Rate Class Energy Model'!L33</f>
        <v>275.71590019869365</v>
      </c>
    </row>
    <row r="54" spans="2:4" x14ac:dyDescent="0.2">
      <c r="B54" s="13"/>
      <c r="C54" s="13"/>
      <c r="D54" s="13"/>
    </row>
    <row r="55" spans="2:4" x14ac:dyDescent="0.2">
      <c r="B55" s="13"/>
      <c r="C55" s="13"/>
      <c r="D55" s="13"/>
    </row>
  </sheetData>
  <phoneticPr fontId="0" type="noConversion"/>
  <pageMargins left="0.38" right="0.75" top="0.73" bottom="0.74" header="0.5" footer="0.5"/>
  <pageSetup orientation="landscape" r:id="rId1"/>
  <headerFooter alignWithMargins="0">
    <oddFooter>&amp;L&amp;Z&amp;F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098EF-E451-4304-A675-5688FB7BBCB4}">
  <dimension ref="A4:Q54"/>
  <sheetViews>
    <sheetView topLeftCell="A13" workbookViewId="0">
      <selection activeCell="F48" activeCellId="3" sqref="C48 E48 F47 F48"/>
    </sheetView>
  </sheetViews>
  <sheetFormatPr defaultRowHeight="12.75" x14ac:dyDescent="0.2"/>
  <cols>
    <col min="1" max="1" width="24.7109375" customWidth="1"/>
    <col min="2" max="2" width="15" customWidth="1"/>
    <col min="3" max="3" width="14" customWidth="1"/>
    <col min="4" max="4" width="18.85546875" customWidth="1"/>
    <col min="5" max="6" width="16.85546875" customWidth="1"/>
    <col min="7" max="8" width="15" bestFit="1" customWidth="1"/>
    <col min="11" max="17" width="15.7109375" customWidth="1"/>
  </cols>
  <sheetData>
    <row r="4" spans="1:7" x14ac:dyDescent="0.2">
      <c r="C4" s="117"/>
    </row>
    <row r="5" spans="1:7" x14ac:dyDescent="0.2">
      <c r="A5" s="159" t="s">
        <v>182</v>
      </c>
      <c r="B5" s="159"/>
      <c r="C5" s="159"/>
      <c r="D5" s="159"/>
      <c r="E5" s="159"/>
      <c r="F5" s="159"/>
    </row>
    <row r="6" spans="1:7" x14ac:dyDescent="0.2">
      <c r="A6" s="159"/>
      <c r="B6" s="159" t="s">
        <v>11</v>
      </c>
      <c r="C6" s="159" t="s">
        <v>162</v>
      </c>
      <c r="D6" s="159" t="s">
        <v>160</v>
      </c>
      <c r="E6" s="159" t="s">
        <v>161</v>
      </c>
      <c r="F6" s="159" t="s">
        <v>170</v>
      </c>
    </row>
    <row r="7" spans="1:7" x14ac:dyDescent="0.2">
      <c r="A7" s="160" t="s">
        <v>100</v>
      </c>
      <c r="B7" s="161">
        <f>SUM(C7:F7)</f>
        <v>95385746.331457466</v>
      </c>
      <c r="C7" s="162"/>
      <c r="D7" s="162">
        <f>SUM('[12]2.kWh RPP non-RPP'!$Q$37:$Q$39)</f>
        <v>94281882.921477512</v>
      </c>
      <c r="E7" s="162">
        <f>SUM('[12]2.kWh RPP non-RPP'!$R$37:$S$39)</f>
        <v>1103863.4099799562</v>
      </c>
      <c r="F7" s="162"/>
    </row>
    <row r="8" spans="1:7" x14ac:dyDescent="0.2">
      <c r="A8" s="160" t="s">
        <v>163</v>
      </c>
      <c r="B8" s="161">
        <f t="shared" ref="B8:B13" si="0">SUM(C8:F8)</f>
        <v>35246276.66253221</v>
      </c>
      <c r="C8" s="162"/>
      <c r="D8" s="162">
        <f>SUM('[12]2.kWh RPP non-RPP'!$Q$41:$Q$45)</f>
        <v>30095150.062016994</v>
      </c>
      <c r="E8" s="162">
        <f>SUM('[12]2.kWh RPP non-RPP'!$R$41:$S$45)</f>
        <v>5151126.6005152166</v>
      </c>
      <c r="F8" s="162"/>
    </row>
    <row r="9" spans="1:7" x14ac:dyDescent="0.2">
      <c r="A9" s="160" t="s">
        <v>164</v>
      </c>
      <c r="B9" s="161">
        <f t="shared" si="0"/>
        <v>136159366.09102181</v>
      </c>
      <c r="C9" s="162">
        <f>+'[12]4.Class A'!$N$43/1.0481</f>
        <v>66370348.907546997</v>
      </c>
      <c r="D9" s="162">
        <f>SUM('[12]2.kWh RPP non-RPP'!$Q$49:$Q$50)</f>
        <v>10829685.430779513</v>
      </c>
      <c r="E9" s="162">
        <f>SUM('[12]2.kWh RPP non-RPP'!$R$46:$S$51)-C9-F9</f>
        <v>56423159.459975116</v>
      </c>
      <c r="F9" s="162">
        <f>+'[12]2.kWh RPP non-RPP'!$R$51</f>
        <v>2536172.2927201604</v>
      </c>
    </row>
    <row r="10" spans="1:7" x14ac:dyDescent="0.2">
      <c r="A10" s="160" t="s">
        <v>165</v>
      </c>
      <c r="B10" s="161">
        <f t="shared" si="0"/>
        <v>0</v>
      </c>
      <c r="C10" s="162"/>
      <c r="D10" s="162"/>
      <c r="E10" s="162"/>
      <c r="F10" s="162"/>
    </row>
    <row r="11" spans="1:7" x14ac:dyDescent="0.2">
      <c r="A11" s="160" t="s">
        <v>166</v>
      </c>
      <c r="B11" s="161">
        <f t="shared" si="0"/>
        <v>875006.27802690584</v>
      </c>
      <c r="C11" s="162"/>
      <c r="D11" s="162">
        <f>'[12]2.kWh RPP non-RPP'!$Q$52</f>
        <v>159687.48211048558</v>
      </c>
      <c r="E11" s="162">
        <f>+'[12]2.kWh RPP non-RPP'!$R$53</f>
        <v>715318.79591642029</v>
      </c>
      <c r="F11" s="162"/>
    </row>
    <row r="12" spans="1:7" x14ac:dyDescent="0.2">
      <c r="A12" s="160" t="s">
        <v>167</v>
      </c>
      <c r="B12" s="161">
        <f t="shared" si="0"/>
        <v>99742.972998759782</v>
      </c>
      <c r="C12" s="162"/>
      <c r="D12" s="162">
        <f>+'[12]2.kWh RPP non-RPP'!$Q$54</f>
        <v>99742.972998759782</v>
      </c>
      <c r="E12" s="162"/>
      <c r="F12" s="162"/>
    </row>
    <row r="13" spans="1:7" x14ac:dyDescent="0.2">
      <c r="A13" s="160" t="s">
        <v>168</v>
      </c>
      <c r="B13" s="161">
        <f t="shared" si="0"/>
        <v>375339.18519225135</v>
      </c>
      <c r="C13" s="162"/>
      <c r="D13" s="162">
        <f>+'[12]2.kWh RPP non-RPP'!$Q$40</f>
        <v>375339.18519225135</v>
      </c>
      <c r="E13" s="162"/>
      <c r="F13" s="162"/>
      <c r="G13" s="47"/>
    </row>
    <row r="14" spans="1:7" ht="13.5" thickBot="1" x14ac:dyDescent="0.25">
      <c r="A14" s="160"/>
      <c r="B14" s="163">
        <f t="shared" ref="B14:F14" si="1">SUM(B7:B13)</f>
        <v>268141477.52122942</v>
      </c>
      <c r="C14" s="163">
        <f t="shared" si="1"/>
        <v>66370348.907546997</v>
      </c>
      <c r="D14" s="163">
        <f t="shared" si="1"/>
        <v>135841488.05457553</v>
      </c>
      <c r="E14" s="163">
        <f t="shared" si="1"/>
        <v>63393468.26638671</v>
      </c>
      <c r="F14" s="163">
        <f t="shared" si="1"/>
        <v>2536172.2927201604</v>
      </c>
    </row>
    <row r="15" spans="1:7" ht="13.5" thickTop="1" x14ac:dyDescent="0.2">
      <c r="B15" s="119">
        <f>+B14*C17</f>
        <v>281308592.57179296</v>
      </c>
      <c r="C15" s="117"/>
      <c r="F15" s="117"/>
    </row>
    <row r="16" spans="1:7" x14ac:dyDescent="0.2">
      <c r="F16" s="47"/>
    </row>
    <row r="17" spans="1:17" x14ac:dyDescent="0.2">
      <c r="A17" s="15" t="s">
        <v>180</v>
      </c>
      <c r="B17" s="15" t="s">
        <v>178</v>
      </c>
      <c r="C17" s="157">
        <f>+'[13]App.2-R_Loss Factors'!$J$27</f>
        <v>1.0491051036649899</v>
      </c>
      <c r="D17" s="15"/>
      <c r="E17" s="15"/>
      <c r="F17" s="15"/>
      <c r="G17" s="15"/>
      <c r="H17" s="15"/>
      <c r="K17" s="15" t="s">
        <v>259</v>
      </c>
    </row>
    <row r="18" spans="1:17" x14ac:dyDescent="0.2">
      <c r="A18" s="15"/>
      <c r="B18" s="15" t="s">
        <v>171</v>
      </c>
      <c r="C18" s="15" t="s">
        <v>162</v>
      </c>
      <c r="D18" s="15" t="s">
        <v>160</v>
      </c>
      <c r="E18" s="15" t="s">
        <v>161</v>
      </c>
      <c r="F18" s="15" t="s">
        <v>170</v>
      </c>
      <c r="G18" s="15" t="s">
        <v>173</v>
      </c>
      <c r="H18" s="15" t="s">
        <v>176</v>
      </c>
      <c r="J18" t="s">
        <v>179</v>
      </c>
      <c r="K18" s="15" t="s">
        <v>171</v>
      </c>
      <c r="L18" s="15" t="s">
        <v>162</v>
      </c>
      <c r="M18" s="15" t="s">
        <v>160</v>
      </c>
      <c r="N18" s="15" t="s">
        <v>161</v>
      </c>
      <c r="O18" s="15" t="s">
        <v>170</v>
      </c>
      <c r="P18" s="15" t="s">
        <v>171</v>
      </c>
      <c r="Q18" s="15" t="s">
        <v>176</v>
      </c>
    </row>
    <row r="19" spans="1:17" x14ac:dyDescent="0.2">
      <c r="A19" s="47" t="s">
        <v>100</v>
      </c>
      <c r="B19" s="118">
        <f>+Summary!M15</f>
        <v>95562230.878257319</v>
      </c>
      <c r="C19" s="113"/>
      <c r="D19" s="113">
        <f>+B19*D7/B7*C17</f>
        <v>99094612.713728994</v>
      </c>
      <c r="E19" s="113">
        <f>+B19*E7/B7*C17</f>
        <v>1160211.4182628563</v>
      </c>
      <c r="F19" s="113">
        <f>+F7*$C$17*$B$14/$B$26</f>
        <v>0</v>
      </c>
      <c r="G19" s="117">
        <f>SUM(C19:E19)</f>
        <v>100254824.13199185</v>
      </c>
      <c r="H19" s="117">
        <f>+G19</f>
        <v>100254824.13199185</v>
      </c>
      <c r="J19" s="117">
        <f t="shared" ref="J19:J26" si="2">+B19*$C$17-G19</f>
        <v>0</v>
      </c>
      <c r="K19" s="118">
        <f>+B19</f>
        <v>95562230.878257319</v>
      </c>
      <c r="L19" s="113"/>
      <c r="M19" s="113">
        <f t="shared" ref="M19:M25" si="3">+D19/$C$17</f>
        <v>94456325.078914896</v>
      </c>
      <c r="N19" s="113">
        <f t="shared" ref="N19:N25" si="4">+E19/$C$17</f>
        <v>1105905.7993424328</v>
      </c>
      <c r="O19" s="113">
        <f t="shared" ref="O19:O25" si="5">+F19/$C$17</f>
        <v>0</v>
      </c>
      <c r="P19" s="117">
        <f>SUM(L19:N19)</f>
        <v>95562230.878257334</v>
      </c>
      <c r="Q19" s="117">
        <f>+P19</f>
        <v>95562230.878257334</v>
      </c>
    </row>
    <row r="20" spans="1:17" x14ac:dyDescent="0.2">
      <c r="A20" t="s">
        <v>163</v>
      </c>
      <c r="B20" s="118">
        <f>+Summary!M19</f>
        <v>35768954.196158841</v>
      </c>
      <c r="C20" s="113"/>
      <c r="D20" s="113">
        <f>+B20*D8/B8*C17</f>
        <v>32041180.582715686</v>
      </c>
      <c r="E20" s="113">
        <f>+B20*E8/B8*C17</f>
        <v>5484211.8172338102</v>
      </c>
      <c r="F20" s="113">
        <f>+F8*$C$17*$B$14/$B$26</f>
        <v>0</v>
      </c>
      <c r="G20" s="117">
        <f t="shared" ref="G20" si="6">SUM(C20:E20)</f>
        <v>37525392.399949498</v>
      </c>
      <c r="H20" s="117">
        <f t="shared" ref="H20:H25" si="7">+G20</f>
        <v>37525392.399949498</v>
      </c>
      <c r="J20" s="117">
        <f t="shared" si="2"/>
        <v>0</v>
      </c>
      <c r="K20" s="118">
        <f t="shared" ref="K20:K25" si="8">+B20</f>
        <v>35768954.196158841</v>
      </c>
      <c r="L20" s="113"/>
      <c r="M20" s="113">
        <f t="shared" si="3"/>
        <v>30541440.005183101</v>
      </c>
      <c r="N20" s="113">
        <f t="shared" si="4"/>
        <v>5227514.1909757406</v>
      </c>
      <c r="O20" s="113">
        <f t="shared" si="5"/>
        <v>0</v>
      </c>
      <c r="P20" s="117">
        <f t="shared" ref="P20" si="9">SUM(L20:N20)</f>
        <v>35768954.196158841</v>
      </c>
      <c r="Q20" s="117">
        <f t="shared" ref="Q20" si="10">+P20</f>
        <v>35768954.196158841</v>
      </c>
    </row>
    <row r="21" spans="1:17" x14ac:dyDescent="0.2">
      <c r="A21" t="s">
        <v>164</v>
      </c>
      <c r="B21" s="118">
        <f>+Summary!M23</f>
        <v>135154245.19000375</v>
      </c>
      <c r="C21" s="113">
        <f>+$B$21*C9/$B$9*$C$17</f>
        <v>69115470.865869001</v>
      </c>
      <c r="D21" s="113">
        <f t="shared" ref="D21:E21" si="11">+$B$21*D9/$B$9*$C$17</f>
        <v>11277608.453139462</v>
      </c>
      <c r="E21" s="113">
        <f t="shared" si="11"/>
        <v>58756859.019205093</v>
      </c>
      <c r="F21" s="113">
        <f>+$B$21*F9/$B$9*$C$17</f>
        <v>2641070.0726087689</v>
      </c>
      <c r="G21" s="117">
        <f>SUM(C21:F21)</f>
        <v>141791008.41082233</v>
      </c>
      <c r="H21" s="117">
        <f>+G21-F21</f>
        <v>139149938.33821356</v>
      </c>
      <c r="J21" s="117">
        <f t="shared" si="2"/>
        <v>0</v>
      </c>
      <c r="K21" s="118">
        <f>+B21</f>
        <v>135154245.19000375</v>
      </c>
      <c r="L21" s="113">
        <f>+C21/$C$17</f>
        <v>65880406.666994542</v>
      </c>
      <c r="M21" s="113">
        <f t="shared" si="3"/>
        <v>10749741.292594774</v>
      </c>
      <c r="N21" s="113">
        <f t="shared" si="4"/>
        <v>56006646.821125261</v>
      </c>
      <c r="O21" s="113">
        <f t="shared" si="5"/>
        <v>2517450.4092891538</v>
      </c>
      <c r="P21" s="117">
        <f>SUM(L21:O21)</f>
        <v>135154245.19000372</v>
      </c>
      <c r="Q21" s="117">
        <f>+P21-O21</f>
        <v>132636794.78071457</v>
      </c>
    </row>
    <row r="22" spans="1:17" x14ac:dyDescent="0.2">
      <c r="A22" t="s">
        <v>165</v>
      </c>
      <c r="B22" s="118"/>
      <c r="C22" s="113"/>
      <c r="D22" s="113"/>
      <c r="E22" s="113"/>
      <c r="F22" s="113"/>
      <c r="G22" s="117">
        <f t="shared" ref="G22:G25" si="12">SUM(C22:F22)</f>
        <v>0</v>
      </c>
      <c r="H22" s="117">
        <f t="shared" si="7"/>
        <v>0</v>
      </c>
      <c r="J22" s="117">
        <f t="shared" si="2"/>
        <v>0</v>
      </c>
      <c r="K22" s="118">
        <f t="shared" si="8"/>
        <v>0</v>
      </c>
      <c r="L22" s="113"/>
      <c r="M22" s="113">
        <f t="shared" si="3"/>
        <v>0</v>
      </c>
      <c r="N22" s="113">
        <f t="shared" si="4"/>
        <v>0</v>
      </c>
      <c r="O22" s="113">
        <f t="shared" si="5"/>
        <v>0</v>
      </c>
      <c r="P22" s="117">
        <f t="shared" ref="P22:P25" si="13">SUM(L22:O22)</f>
        <v>0</v>
      </c>
      <c r="Q22" s="117">
        <f t="shared" ref="Q22:Q25" si="14">+P22</f>
        <v>0</v>
      </c>
    </row>
    <row r="23" spans="1:17" x14ac:dyDescent="0.2">
      <c r="A23" t="s">
        <v>166</v>
      </c>
      <c r="B23" s="118">
        <f>+Summary!M28</f>
        <v>867518.63090335811</v>
      </c>
      <c r="C23" s="113"/>
      <c r="D23" s="113">
        <f>+$B$23*D11/$B$11*$C$17</f>
        <v>166095.36541180656</v>
      </c>
      <c r="E23" s="113">
        <f t="shared" ref="E23:F23" si="15">+$B$23*E11/$B$11*$C$17</f>
        <v>744022.85779337119</v>
      </c>
      <c r="F23" s="113">
        <f t="shared" si="15"/>
        <v>0</v>
      </c>
      <c r="G23" s="117">
        <f t="shared" si="12"/>
        <v>910118.22320517781</v>
      </c>
      <c r="H23" s="117">
        <f t="shared" si="7"/>
        <v>910118.22320517781</v>
      </c>
      <c r="J23" s="117">
        <f t="shared" si="2"/>
        <v>0</v>
      </c>
      <c r="K23" s="118">
        <f t="shared" si="8"/>
        <v>867518.63090335811</v>
      </c>
      <c r="L23" s="113"/>
      <c r="M23" s="113">
        <f t="shared" si="3"/>
        <v>158320.99646790556</v>
      </c>
      <c r="N23" s="113">
        <f t="shared" si="4"/>
        <v>709197.63443545264</v>
      </c>
      <c r="O23" s="113">
        <f t="shared" si="5"/>
        <v>0</v>
      </c>
      <c r="P23" s="117">
        <f t="shared" si="13"/>
        <v>867518.63090335822</v>
      </c>
      <c r="Q23" s="117">
        <f t="shared" si="14"/>
        <v>867518.63090335822</v>
      </c>
    </row>
    <row r="24" spans="1:17" x14ac:dyDescent="0.2">
      <c r="A24" t="s">
        <v>167</v>
      </c>
      <c r="B24" s="118">
        <f>+Summary!M33</f>
        <v>99190.848539410261</v>
      </c>
      <c r="C24" s="113"/>
      <c r="D24" s="113">
        <f>+B24*C17</f>
        <v>104061.62543955632</v>
      </c>
      <c r="E24" s="113">
        <f>+E12*$C$17*$B$14/$B$26</f>
        <v>0</v>
      </c>
      <c r="F24" s="113">
        <f>+F12*$C$17*$B$14/$B$26</f>
        <v>0</v>
      </c>
      <c r="G24" s="117">
        <f t="shared" si="12"/>
        <v>104061.62543955632</v>
      </c>
      <c r="H24" s="117">
        <f t="shared" si="7"/>
        <v>104061.62543955632</v>
      </c>
      <c r="J24" s="117">
        <f t="shared" si="2"/>
        <v>0</v>
      </c>
      <c r="K24" s="118">
        <f t="shared" si="8"/>
        <v>99190.848539410261</v>
      </c>
      <c r="L24" s="113"/>
      <c r="M24" s="113">
        <f t="shared" si="3"/>
        <v>99190.848539410261</v>
      </c>
      <c r="N24" s="113">
        <f t="shared" si="4"/>
        <v>0</v>
      </c>
      <c r="O24" s="113">
        <f t="shared" si="5"/>
        <v>0</v>
      </c>
      <c r="P24" s="117">
        <f t="shared" si="13"/>
        <v>99190.848539410261</v>
      </c>
      <c r="Q24" s="117">
        <f t="shared" si="14"/>
        <v>99190.848539410261</v>
      </c>
    </row>
    <row r="25" spans="1:17" x14ac:dyDescent="0.2">
      <c r="A25" t="s">
        <v>168</v>
      </c>
      <c r="B25" s="118">
        <f>+Summary!M38</f>
        <v>366145.57472795661</v>
      </c>
      <c r="C25" s="113"/>
      <c r="D25" s="113">
        <f>+B25*C17</f>
        <v>384125.19113145024</v>
      </c>
      <c r="E25" s="113">
        <f>+E13*$C$17*$B$14/$B$26</f>
        <v>0</v>
      </c>
      <c r="F25" s="113">
        <f>+F13*$C$17*$B$14/$B$26</f>
        <v>0</v>
      </c>
      <c r="G25" s="117">
        <f t="shared" si="12"/>
        <v>384125.19113145024</v>
      </c>
      <c r="H25" s="117">
        <f t="shared" si="7"/>
        <v>384125.19113145024</v>
      </c>
      <c r="J25" s="117">
        <f t="shared" si="2"/>
        <v>0</v>
      </c>
      <c r="K25" s="118">
        <f t="shared" si="8"/>
        <v>366145.57472795661</v>
      </c>
      <c r="L25" s="113"/>
      <c r="M25" s="113">
        <f t="shared" si="3"/>
        <v>366145.57472795661</v>
      </c>
      <c r="N25" s="113">
        <f t="shared" si="4"/>
        <v>0</v>
      </c>
      <c r="O25" s="113">
        <f t="shared" si="5"/>
        <v>0</v>
      </c>
      <c r="P25" s="117">
        <f t="shared" si="13"/>
        <v>366145.57472795661</v>
      </c>
      <c r="Q25" s="117">
        <f t="shared" si="14"/>
        <v>366145.57472795661</v>
      </c>
    </row>
    <row r="26" spans="1:17" ht="13.5" thickBot="1" x14ac:dyDescent="0.25">
      <c r="B26" s="116">
        <f t="shared" ref="B26:H26" si="16">SUM(B19:B25)</f>
        <v>267818285.31859064</v>
      </c>
      <c r="C26" s="116">
        <f t="shared" si="16"/>
        <v>69115470.865869001</v>
      </c>
      <c r="D26" s="116">
        <f t="shared" si="16"/>
        <v>143067683.93156695</v>
      </c>
      <c r="E26" s="116">
        <f t="shared" si="16"/>
        <v>66145305.112495132</v>
      </c>
      <c r="F26" s="116">
        <f t="shared" si="16"/>
        <v>2641070.0726087689</v>
      </c>
      <c r="G26" s="116">
        <f t="shared" si="16"/>
        <v>280969529.98253989</v>
      </c>
      <c r="H26" s="116">
        <f t="shared" si="16"/>
        <v>278328459.90993112</v>
      </c>
      <c r="J26" s="117">
        <f t="shared" si="2"/>
        <v>0</v>
      </c>
      <c r="K26" s="116">
        <f t="shared" ref="K26:Q26" si="17">SUM(K19:K25)</f>
        <v>267818285.31859064</v>
      </c>
      <c r="L26" s="116">
        <f t="shared" si="17"/>
        <v>65880406.666994542</v>
      </c>
      <c r="M26" s="116">
        <f t="shared" si="17"/>
        <v>136371163.79642805</v>
      </c>
      <c r="N26" s="116">
        <f t="shared" si="17"/>
        <v>63049264.445878886</v>
      </c>
      <c r="O26" s="116">
        <f t="shared" si="17"/>
        <v>2517450.4092891538</v>
      </c>
      <c r="P26" s="116">
        <f t="shared" si="17"/>
        <v>267818285.31859064</v>
      </c>
      <c r="Q26" s="116">
        <f t="shared" si="17"/>
        <v>265300834.90930146</v>
      </c>
    </row>
    <row r="27" spans="1:17" ht="13.5" thickTop="1" x14ac:dyDescent="0.2">
      <c r="A27" s="47" t="s">
        <v>172</v>
      </c>
      <c r="B27" s="117">
        <f>+'Rate Class Energy Model'!G15*'2024 RPP non-RPP COP'!C17</f>
        <v>280969529.98253989</v>
      </c>
      <c r="E27" s="117"/>
      <c r="F27" s="117"/>
    </row>
    <row r="32" spans="1:17" x14ac:dyDescent="0.2">
      <c r="A32" s="159" t="s">
        <v>175</v>
      </c>
      <c r="B32" s="159"/>
      <c r="C32" s="159"/>
      <c r="D32" s="159"/>
      <c r="E32" s="159" t="s">
        <v>0</v>
      </c>
      <c r="F32" s="159" t="s">
        <v>170</v>
      </c>
      <c r="G32" s="15" t="s">
        <v>181</v>
      </c>
      <c r="H32" s="15" t="s">
        <v>174</v>
      </c>
    </row>
    <row r="33" spans="1:10" x14ac:dyDescent="0.2">
      <c r="A33" s="160"/>
      <c r="B33" s="159" t="s">
        <v>11</v>
      </c>
      <c r="C33" s="159" t="s">
        <v>162</v>
      </c>
      <c r="D33" s="159" t="s">
        <v>160</v>
      </c>
      <c r="E33" s="159" t="s">
        <v>161</v>
      </c>
      <c r="F33" s="159"/>
      <c r="G33" s="15"/>
      <c r="H33" s="15"/>
    </row>
    <row r="34" spans="1:10" x14ac:dyDescent="0.2">
      <c r="A34" s="160" t="s">
        <v>100</v>
      </c>
      <c r="B34" s="161">
        <f>+D34+E34</f>
        <v>0</v>
      </c>
      <c r="C34" s="162"/>
      <c r="D34" s="162"/>
      <c r="E34" s="162"/>
      <c r="F34" s="162"/>
      <c r="G34" s="117">
        <f>SUM(C34:E34)</f>
        <v>0</v>
      </c>
      <c r="H34" s="117">
        <f>+G34</f>
        <v>0</v>
      </c>
    </row>
    <row r="35" spans="1:10" x14ac:dyDescent="0.2">
      <c r="A35" s="160" t="s">
        <v>163</v>
      </c>
      <c r="B35" s="161">
        <f t="shared" ref="B35" si="18">+D35+E35</f>
        <v>0</v>
      </c>
      <c r="C35" s="162"/>
      <c r="D35" s="162"/>
      <c r="E35" s="162"/>
      <c r="F35" s="162"/>
      <c r="G35" s="117">
        <f t="shared" ref="G35" si="19">SUM(C35:E35)</f>
        <v>0</v>
      </c>
      <c r="H35" s="117">
        <f t="shared" ref="H35" si="20">+G35</f>
        <v>0</v>
      </c>
    </row>
    <row r="36" spans="1:10" x14ac:dyDescent="0.2">
      <c r="A36" s="160" t="s">
        <v>164</v>
      </c>
      <c r="B36" s="161">
        <f>+'[12]7.kW by Month-Load Forecast'!$N$28</f>
        <v>317681.46000000008</v>
      </c>
      <c r="C36" s="162">
        <f>+'[12]4.Class A'!$N$62</f>
        <v>127034.69</v>
      </c>
      <c r="D36" s="162">
        <f>SUM('[12]3.kW RPP non-RPP'!$Q$20:$Q$21)</f>
        <v>36991.82</v>
      </c>
      <c r="E36" s="162">
        <f>SUM('[12]3.kW RPP non-RPP'!$R$17:$S$22)-C36-F36</f>
        <v>148121.80000000013</v>
      </c>
      <c r="F36" s="162">
        <f>+'[12]3.kW RPP non-RPP'!$R$22</f>
        <v>5533.15</v>
      </c>
      <c r="G36" s="117">
        <f>SUM(C36:E36)</f>
        <v>312148.31000000017</v>
      </c>
      <c r="H36" s="117">
        <f>+G36+F36</f>
        <v>317681.4600000002</v>
      </c>
    </row>
    <row r="37" spans="1:10" x14ac:dyDescent="0.2">
      <c r="A37" s="160" t="s">
        <v>165</v>
      </c>
      <c r="B37" s="161">
        <f t="shared" ref="B37:B40" si="21">+D37+E37</f>
        <v>0</v>
      </c>
      <c r="C37" s="162"/>
      <c r="D37" s="162"/>
      <c r="E37" s="162"/>
      <c r="F37" s="162"/>
      <c r="G37" s="117">
        <f t="shared" ref="G37:G40" si="22">SUM(C37:F37)</f>
        <v>0</v>
      </c>
      <c r="H37" s="117">
        <f t="shared" ref="H37:H40" si="23">+G37</f>
        <v>0</v>
      </c>
    </row>
    <row r="38" spans="1:10" x14ac:dyDescent="0.2">
      <c r="A38" s="160" t="s">
        <v>166</v>
      </c>
      <c r="B38" s="161">
        <f>+'[12]7.kW by Month-Load Forecast'!$N$29</f>
        <v>2434.08</v>
      </c>
      <c r="C38" s="162"/>
      <c r="D38" s="162">
        <f>+'[12]3.kW RPP non-RPP'!$Q$23</f>
        <v>440.16000000000008</v>
      </c>
      <c r="E38" s="162">
        <f>+'[12]3.kW RPP non-RPP'!$R$24</f>
        <v>1993.9200000000003</v>
      </c>
      <c r="F38" s="162"/>
      <c r="G38" s="117">
        <f t="shared" si="22"/>
        <v>2434.0800000000004</v>
      </c>
      <c r="H38" s="117">
        <f t="shared" si="23"/>
        <v>2434.0800000000004</v>
      </c>
    </row>
    <row r="39" spans="1:10" x14ac:dyDescent="0.2">
      <c r="A39" s="160" t="s">
        <v>167</v>
      </c>
      <c r="B39" s="161">
        <f>+'[12]7.kW by Month-Load Forecast'!$N$30</f>
        <v>278.2</v>
      </c>
      <c r="C39" s="162"/>
      <c r="D39" s="162">
        <f>+'[12]7.kW by Month-Load Forecast'!$N$30</f>
        <v>278.2</v>
      </c>
      <c r="E39" s="162"/>
      <c r="F39" s="162"/>
      <c r="G39" s="117">
        <f t="shared" si="22"/>
        <v>278.2</v>
      </c>
      <c r="H39" s="117">
        <f t="shared" si="23"/>
        <v>278.2</v>
      </c>
    </row>
    <row r="40" spans="1:10" x14ac:dyDescent="0.2">
      <c r="A40" s="160" t="s">
        <v>168</v>
      </c>
      <c r="B40" s="161">
        <f t="shared" si="21"/>
        <v>0</v>
      </c>
      <c r="C40" s="162"/>
      <c r="D40" s="162"/>
      <c r="E40" s="162"/>
      <c r="F40" s="162"/>
      <c r="G40" s="117">
        <f t="shared" si="22"/>
        <v>0</v>
      </c>
      <c r="H40" s="117">
        <f t="shared" si="23"/>
        <v>0</v>
      </c>
    </row>
    <row r="41" spans="1:10" ht="13.5" thickBot="1" x14ac:dyDescent="0.25">
      <c r="A41" s="160"/>
      <c r="B41" s="163">
        <f t="shared" ref="B41:H41" si="24">SUM(B34:B40)</f>
        <v>320393.74000000011</v>
      </c>
      <c r="C41" s="163">
        <f t="shared" si="24"/>
        <v>127034.69</v>
      </c>
      <c r="D41" s="163">
        <f t="shared" si="24"/>
        <v>37710.18</v>
      </c>
      <c r="E41" s="163">
        <f t="shared" si="24"/>
        <v>150115.72000000015</v>
      </c>
      <c r="F41" s="163">
        <f t="shared" si="24"/>
        <v>5533.15</v>
      </c>
      <c r="G41" s="116">
        <f t="shared" si="24"/>
        <v>314860.5900000002</v>
      </c>
      <c r="H41" s="116">
        <f t="shared" si="24"/>
        <v>320393.74000000022</v>
      </c>
    </row>
    <row r="42" spans="1:10" ht="13.5" thickTop="1" x14ac:dyDescent="0.2">
      <c r="B42" s="119"/>
      <c r="F42" s="117"/>
    </row>
    <row r="43" spans="1:10" x14ac:dyDescent="0.2">
      <c r="F43" s="47"/>
    </row>
    <row r="44" spans="1:10" x14ac:dyDescent="0.2">
      <c r="A44" s="15" t="s">
        <v>169</v>
      </c>
      <c r="B44" s="15"/>
      <c r="C44" s="15"/>
      <c r="D44" s="15"/>
      <c r="E44" s="15"/>
      <c r="F44" s="15"/>
    </row>
    <row r="45" spans="1:10" x14ac:dyDescent="0.2">
      <c r="B45" s="15" t="s">
        <v>171</v>
      </c>
      <c r="C45" s="15" t="s">
        <v>162</v>
      </c>
      <c r="D45" s="15" t="s">
        <v>160</v>
      </c>
      <c r="E45" s="15" t="s">
        <v>161</v>
      </c>
      <c r="F45" s="15" t="s">
        <v>170</v>
      </c>
      <c r="G45" s="47" t="s">
        <v>181</v>
      </c>
      <c r="H45" s="47" t="s">
        <v>174</v>
      </c>
      <c r="J45" t="s">
        <v>179</v>
      </c>
    </row>
    <row r="46" spans="1:10" x14ac:dyDescent="0.2">
      <c r="A46" s="47" t="s">
        <v>100</v>
      </c>
      <c r="B46" s="164"/>
      <c r="C46" s="165"/>
      <c r="D46" s="165"/>
      <c r="E46" s="165"/>
      <c r="F46" s="165"/>
      <c r="G46" s="117">
        <f>SUM(C46:E46)</f>
        <v>0</v>
      </c>
      <c r="H46" s="117">
        <f>+G46</f>
        <v>0</v>
      </c>
      <c r="J46" s="117">
        <f t="shared" ref="J46:J47" si="25">+B46-G46</f>
        <v>0</v>
      </c>
    </row>
    <row r="47" spans="1:10" x14ac:dyDescent="0.2">
      <c r="A47" t="s">
        <v>163</v>
      </c>
      <c r="B47" s="118"/>
      <c r="C47" s="113"/>
      <c r="D47" s="113"/>
      <c r="E47" s="113"/>
      <c r="F47" s="113"/>
      <c r="G47" s="117">
        <f t="shared" ref="G47" si="26">SUM(C47:E47)</f>
        <v>0</v>
      </c>
      <c r="H47" s="117">
        <f t="shared" ref="H47:H52" si="27">+G47</f>
        <v>0</v>
      </c>
      <c r="J47" s="117">
        <f t="shared" si="25"/>
        <v>0</v>
      </c>
    </row>
    <row r="48" spans="1:10" x14ac:dyDescent="0.2">
      <c r="A48" t="s">
        <v>164</v>
      </c>
      <c r="B48" s="118">
        <f>+Summary!M24</f>
        <v>317655.44335731986</v>
      </c>
      <c r="C48" s="113">
        <f>+C36/B36*B48</f>
        <v>127024.2864462713</v>
      </c>
      <c r="D48" s="113">
        <f>+B48*D36/B36</f>
        <v>36988.79054098457</v>
      </c>
      <c r="E48" s="113">
        <f>+B48*E36/B36</f>
        <v>148109.66950946487</v>
      </c>
      <c r="F48" s="113">
        <f>+C48*F36/C36</f>
        <v>5532.6968605991487</v>
      </c>
      <c r="G48" s="117">
        <f>SUM(C48:E48)</f>
        <v>312122.74649672076</v>
      </c>
      <c r="H48" s="117">
        <f>+G48+F48</f>
        <v>317655.44335731992</v>
      </c>
      <c r="J48" s="117">
        <f>+B48-G48</f>
        <v>5532.6968605990987</v>
      </c>
    </row>
    <row r="49" spans="1:10" x14ac:dyDescent="0.2">
      <c r="A49" t="s">
        <v>165</v>
      </c>
      <c r="B49" s="118"/>
      <c r="C49" s="113"/>
      <c r="D49" s="113"/>
      <c r="E49" s="113"/>
      <c r="F49" s="113"/>
      <c r="G49" s="117">
        <f t="shared" ref="G49:G52" si="28">SUM(C49:F49)</f>
        <v>0</v>
      </c>
      <c r="H49" s="117">
        <f t="shared" si="27"/>
        <v>0</v>
      </c>
      <c r="J49" s="117">
        <f t="shared" ref="J49:J53" si="29">+B49-G49</f>
        <v>0</v>
      </c>
    </row>
    <row r="50" spans="1:10" x14ac:dyDescent="0.2">
      <c r="A50" t="s">
        <v>166</v>
      </c>
      <c r="B50" s="118">
        <f>+Summary!M29</f>
        <v>2415.7713744567136</v>
      </c>
      <c r="C50" s="113"/>
      <c r="D50" s="113">
        <f>+$B$50*D38/$B$38</f>
        <v>436.8492112752528</v>
      </c>
      <c r="E50" s="113">
        <f>+$B$50*E38/$B$38</f>
        <v>1978.9221631814612</v>
      </c>
      <c r="F50" s="113"/>
      <c r="G50" s="117">
        <f t="shared" si="28"/>
        <v>2415.7713744567141</v>
      </c>
      <c r="H50" s="117">
        <f t="shared" si="27"/>
        <v>2415.7713744567141</v>
      </c>
      <c r="J50" s="117">
        <f t="shared" si="29"/>
        <v>0</v>
      </c>
    </row>
    <row r="51" spans="1:10" x14ac:dyDescent="0.2">
      <c r="A51" t="s">
        <v>167</v>
      </c>
      <c r="B51" s="118">
        <f>+Summary!M34</f>
        <v>275.71590019869365</v>
      </c>
      <c r="C51" s="113"/>
      <c r="D51" s="113">
        <f>+$B$51*D39/$B$39</f>
        <v>275.71590019869365</v>
      </c>
      <c r="E51" s="113"/>
      <c r="F51" s="113"/>
      <c r="G51" s="117">
        <f t="shared" si="28"/>
        <v>275.71590019869365</v>
      </c>
      <c r="H51" s="117">
        <f t="shared" si="27"/>
        <v>275.71590019869365</v>
      </c>
      <c r="J51" s="117">
        <f t="shared" si="29"/>
        <v>0</v>
      </c>
    </row>
    <row r="52" spans="1:10" x14ac:dyDescent="0.2">
      <c r="A52" t="s">
        <v>168</v>
      </c>
      <c r="B52" s="118"/>
      <c r="C52" s="113"/>
      <c r="D52" s="113"/>
      <c r="E52" s="113"/>
      <c r="F52" s="113"/>
      <c r="G52" s="117">
        <f t="shared" si="28"/>
        <v>0</v>
      </c>
      <c r="H52" s="117">
        <f t="shared" si="27"/>
        <v>0</v>
      </c>
      <c r="J52" s="117">
        <f t="shared" si="29"/>
        <v>0</v>
      </c>
    </row>
    <row r="53" spans="1:10" ht="13.5" thickBot="1" x14ac:dyDescent="0.25">
      <c r="B53" s="116">
        <f t="shared" ref="B53:H53" si="30">SUM(B46:B52)</f>
        <v>320346.93063197524</v>
      </c>
      <c r="C53" s="116">
        <f t="shared" si="30"/>
        <v>127024.2864462713</v>
      </c>
      <c r="D53" s="116">
        <f t="shared" si="30"/>
        <v>37701.355652458515</v>
      </c>
      <c r="E53" s="116">
        <f t="shared" si="30"/>
        <v>150088.59167264635</v>
      </c>
      <c r="F53" s="116">
        <f t="shared" si="30"/>
        <v>5532.6968605991487</v>
      </c>
      <c r="G53" s="116">
        <f t="shared" si="30"/>
        <v>314814.23377137614</v>
      </c>
      <c r="H53" s="116">
        <f t="shared" si="30"/>
        <v>320346.93063197529</v>
      </c>
      <c r="J53" s="117">
        <f t="shared" si="29"/>
        <v>5532.6968605990987</v>
      </c>
    </row>
    <row r="54" spans="1:10" ht="13.5" thickTop="1" x14ac:dyDescent="0.2">
      <c r="A54" s="47"/>
      <c r="B54" s="117"/>
      <c r="E54" s="117"/>
      <c r="F54" s="117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54E7F7-15B6-4750-B613-047B460B37EB}">
  <sheetPr>
    <pageSetUpPr fitToPage="1"/>
  </sheetPr>
  <dimension ref="A3:V723"/>
  <sheetViews>
    <sheetView showGridLines="0" topLeftCell="A692" workbookViewId="0">
      <selection activeCell="F713" sqref="F713"/>
    </sheetView>
  </sheetViews>
  <sheetFormatPr defaultRowHeight="12.75" x14ac:dyDescent="0.2"/>
  <cols>
    <col min="2" max="2" width="18.42578125" customWidth="1"/>
    <col min="3" max="8" width="12.5703125" customWidth="1"/>
    <col min="9" max="9" width="21.28515625" customWidth="1"/>
    <col min="10" max="15" width="12.5703125" customWidth="1"/>
    <col min="16" max="21" width="15.5703125" customWidth="1"/>
  </cols>
  <sheetData>
    <row r="3" spans="2:21" x14ac:dyDescent="0.2">
      <c r="C3">
        <v>1</v>
      </c>
      <c r="D3">
        <v>2</v>
      </c>
      <c r="E3">
        <v>3</v>
      </c>
      <c r="F3">
        <v>4</v>
      </c>
      <c r="G3">
        <v>5</v>
      </c>
      <c r="H3">
        <v>6</v>
      </c>
      <c r="I3">
        <v>7</v>
      </c>
      <c r="J3">
        <v>8</v>
      </c>
      <c r="K3">
        <v>9</v>
      </c>
      <c r="L3">
        <v>10</v>
      </c>
      <c r="M3">
        <v>11</v>
      </c>
      <c r="N3">
        <v>12</v>
      </c>
      <c r="O3" t="s">
        <v>254</v>
      </c>
    </row>
    <row r="4" spans="2:21" ht="23.25" x14ac:dyDescent="0.35">
      <c r="B4" s="72" t="s">
        <v>123</v>
      </c>
      <c r="C4" s="70"/>
      <c r="D4" s="70"/>
      <c r="E4" s="70"/>
      <c r="F4" s="70"/>
      <c r="G4" s="70"/>
      <c r="H4" s="70"/>
      <c r="I4" s="70"/>
      <c r="J4" s="70"/>
      <c r="K4" s="70"/>
      <c r="L4" s="70"/>
      <c r="M4" s="81"/>
      <c r="N4" s="47"/>
      <c r="O4" s="47" t="s">
        <v>123</v>
      </c>
      <c r="P4" s="47"/>
    </row>
    <row r="5" spans="2:21" ht="15" x14ac:dyDescent="0.2">
      <c r="B5" s="80"/>
      <c r="C5" s="70"/>
      <c r="D5" s="70"/>
      <c r="E5" s="70"/>
      <c r="F5" s="70"/>
      <c r="G5" s="70"/>
      <c r="H5" s="70"/>
      <c r="I5" s="70"/>
      <c r="J5" s="70"/>
      <c r="K5" s="70"/>
      <c r="L5" s="70"/>
      <c r="M5" s="81"/>
      <c r="N5" s="70"/>
      <c r="O5" s="47"/>
      <c r="P5" s="47"/>
    </row>
    <row r="6" spans="2:21" ht="48" customHeight="1" x14ac:dyDescent="0.2">
      <c r="I6" s="70"/>
      <c r="J6" s="70"/>
      <c r="K6" s="70"/>
      <c r="L6" s="70"/>
      <c r="M6" s="81"/>
      <c r="O6" s="76" t="s">
        <v>111</v>
      </c>
      <c r="P6" s="76" t="s">
        <v>186</v>
      </c>
      <c r="Q6" s="76" t="s">
        <v>124</v>
      </c>
      <c r="R6" s="76" t="s">
        <v>125</v>
      </c>
      <c r="S6" s="76" t="s">
        <v>128</v>
      </c>
      <c r="T6" s="76" t="s">
        <v>126</v>
      </c>
      <c r="U6" s="76" t="s">
        <v>127</v>
      </c>
    </row>
    <row r="7" spans="2:21" x14ac:dyDescent="0.2">
      <c r="I7" s="70"/>
      <c r="J7" s="70"/>
      <c r="K7" s="70"/>
      <c r="L7" s="70"/>
      <c r="M7" s="81"/>
      <c r="O7" s="88" t="s">
        <v>183</v>
      </c>
      <c r="P7" s="88">
        <v>252033687</v>
      </c>
      <c r="Q7" s="88"/>
      <c r="R7" s="88"/>
      <c r="S7" s="88">
        <f>+I50</f>
        <v>14719</v>
      </c>
      <c r="T7" s="88"/>
      <c r="U7" s="88"/>
    </row>
    <row r="8" spans="2:21" x14ac:dyDescent="0.2">
      <c r="I8" s="70"/>
      <c r="J8" s="70"/>
      <c r="K8" s="70"/>
      <c r="L8" s="70"/>
      <c r="M8" s="81"/>
      <c r="O8" s="75">
        <f t="shared" ref="O8:O15" si="0">+O9-1</f>
        <v>2013</v>
      </c>
      <c r="P8" s="100" cm="1">
        <f t="array" ref="P8:P19">TRANSPOSE(Summary!B10:M10)</f>
        <v>245814402.27250811</v>
      </c>
      <c r="Q8" s="100"/>
      <c r="R8" s="87"/>
      <c r="S8" s="87">
        <f>+I51</f>
        <v>14572.666666666666</v>
      </c>
      <c r="T8" s="100"/>
      <c r="U8" s="87"/>
    </row>
    <row r="9" spans="2:21" x14ac:dyDescent="0.2">
      <c r="I9" s="70"/>
      <c r="J9" s="70"/>
      <c r="K9" s="70"/>
      <c r="L9" s="70"/>
      <c r="M9" s="81"/>
      <c r="O9" s="75">
        <f t="shared" si="0"/>
        <v>2014</v>
      </c>
      <c r="P9" s="100">
        <v>247553231.19939566</v>
      </c>
      <c r="Q9" s="100">
        <f>+P9-P8</f>
        <v>1738828.926887542</v>
      </c>
      <c r="R9" s="101">
        <f>+Q9/P8</f>
        <v>7.0737471474917428E-3</v>
      </c>
      <c r="S9" s="87">
        <f t="shared" ref="S9:S19" si="1">+I52</f>
        <v>14766.583333333332</v>
      </c>
      <c r="T9" s="100">
        <f>+S9-S8</f>
        <v>193.91666666666606</v>
      </c>
      <c r="U9" s="101">
        <f>+T9/S8</f>
        <v>1.3306875886362556E-2</v>
      </c>
    </row>
    <row r="10" spans="2:21" x14ac:dyDescent="0.2">
      <c r="I10" s="70"/>
      <c r="J10" s="70"/>
      <c r="K10" s="70"/>
      <c r="L10" s="70"/>
      <c r="M10" s="81"/>
      <c r="O10" s="75">
        <f t="shared" si="0"/>
        <v>2015</v>
      </c>
      <c r="P10" s="100">
        <v>247589220.92592254</v>
      </c>
      <c r="Q10" s="100">
        <f t="shared" ref="Q10:Q17" si="2">+P10-P9</f>
        <v>35989.726526886225</v>
      </c>
      <c r="R10" s="101">
        <f t="shared" ref="R10:R17" si="3">+Q10/P9</f>
        <v>1.4538176840801455E-4</v>
      </c>
      <c r="S10" s="87">
        <f t="shared" si="1"/>
        <v>14938.166666666668</v>
      </c>
      <c r="T10" s="100">
        <f t="shared" ref="T10:T17" si="4">+S10-S9</f>
        <v>171.58333333333576</v>
      </c>
      <c r="U10" s="101">
        <f t="shared" ref="U10:U17" si="5">+T10/S9</f>
        <v>1.1619704400137864E-2</v>
      </c>
    </row>
    <row r="11" spans="2:21" x14ac:dyDescent="0.2">
      <c r="I11" s="70"/>
      <c r="J11" s="70"/>
      <c r="K11" s="70"/>
      <c r="L11" s="70"/>
      <c r="M11" s="81"/>
      <c r="O11" s="75">
        <f t="shared" si="0"/>
        <v>2016</v>
      </c>
      <c r="P11" s="100">
        <v>249736391.42802006</v>
      </c>
      <c r="Q11" s="100">
        <f t="shared" si="2"/>
        <v>2147170.5020975173</v>
      </c>
      <c r="R11" s="101">
        <f t="shared" si="3"/>
        <v>8.6723101032735988E-3</v>
      </c>
      <c r="S11" s="87">
        <f t="shared" si="1"/>
        <v>15008.75</v>
      </c>
      <c r="T11" s="100">
        <f t="shared" si="4"/>
        <v>70.583333333332121</v>
      </c>
      <c r="U11" s="101">
        <f t="shared" si="5"/>
        <v>4.7250331923818483E-3</v>
      </c>
    </row>
    <row r="12" spans="2:21" x14ac:dyDescent="0.2">
      <c r="I12" s="70"/>
      <c r="J12" s="70"/>
      <c r="K12" s="70"/>
      <c r="L12" s="70"/>
      <c r="M12" s="81"/>
      <c r="O12" s="75">
        <f t="shared" si="0"/>
        <v>2017</v>
      </c>
      <c r="P12" s="100">
        <v>245734362.14726132</v>
      </c>
      <c r="Q12" s="100">
        <f t="shared" si="2"/>
        <v>-4002029.2807587385</v>
      </c>
      <c r="R12" s="101">
        <f t="shared" si="3"/>
        <v>-1.6025014447733053E-2</v>
      </c>
      <c r="S12" s="87">
        <f t="shared" si="1"/>
        <v>15314.75</v>
      </c>
      <c r="T12" s="100">
        <f t="shared" si="4"/>
        <v>306</v>
      </c>
      <c r="U12" s="101">
        <f t="shared" si="5"/>
        <v>2.0388106937619721E-2</v>
      </c>
    </row>
    <row r="13" spans="2:21" x14ac:dyDescent="0.2">
      <c r="I13" s="70"/>
      <c r="J13" s="70"/>
      <c r="K13" s="70"/>
      <c r="L13" s="70"/>
      <c r="M13" s="81"/>
      <c r="O13" s="75">
        <f t="shared" si="0"/>
        <v>2018</v>
      </c>
      <c r="P13" s="100">
        <v>257992239.46230364</v>
      </c>
      <c r="Q13" s="100">
        <f t="shared" si="2"/>
        <v>12257877.315042317</v>
      </c>
      <c r="R13" s="101">
        <f t="shared" si="3"/>
        <v>4.9882634271948237E-2</v>
      </c>
      <c r="S13" s="87">
        <f t="shared" si="1"/>
        <v>15660.166666666666</v>
      </c>
      <c r="T13" s="100">
        <f t="shared" si="4"/>
        <v>345.41666666666606</v>
      </c>
      <c r="U13" s="101">
        <f t="shared" si="5"/>
        <v>2.2554508997317362E-2</v>
      </c>
    </row>
    <row r="14" spans="2:21" x14ac:dyDescent="0.2">
      <c r="I14" s="70"/>
      <c r="J14" s="70"/>
      <c r="K14" s="70"/>
      <c r="L14" s="70"/>
      <c r="M14" s="81"/>
      <c r="O14" s="75">
        <f t="shared" si="0"/>
        <v>2019</v>
      </c>
      <c r="P14" s="100">
        <v>253939485.07669529</v>
      </c>
      <c r="Q14" s="100">
        <f t="shared" si="2"/>
        <v>-4052754.3856083453</v>
      </c>
      <c r="R14" s="101">
        <f t="shared" si="3"/>
        <v>-1.5708822846977576E-2</v>
      </c>
      <c r="S14" s="87">
        <f t="shared" si="1"/>
        <v>15823.833333333334</v>
      </c>
      <c r="T14" s="100">
        <f t="shared" si="4"/>
        <v>163.66666666666788</v>
      </c>
      <c r="U14" s="101">
        <f t="shared" si="5"/>
        <v>1.0451144623833371E-2</v>
      </c>
    </row>
    <row r="15" spans="2:21" x14ac:dyDescent="0.2">
      <c r="I15" s="70"/>
      <c r="J15" s="70"/>
      <c r="K15" s="70"/>
      <c r="L15" s="70"/>
      <c r="M15" s="81"/>
      <c r="O15" s="75">
        <f t="shared" si="0"/>
        <v>2020</v>
      </c>
      <c r="P15" s="100">
        <v>255738305.18630907</v>
      </c>
      <c r="Q15" s="100">
        <f t="shared" si="2"/>
        <v>1798820.1096137762</v>
      </c>
      <c r="R15" s="101">
        <f t="shared" si="3"/>
        <v>7.0836566005892821E-3</v>
      </c>
      <c r="S15" s="87">
        <f t="shared" si="1"/>
        <v>15866.666666666666</v>
      </c>
      <c r="T15" s="100">
        <f t="shared" si="4"/>
        <v>42.833333333332121</v>
      </c>
      <c r="U15" s="101">
        <f t="shared" si="5"/>
        <v>2.7068872902688214E-3</v>
      </c>
    </row>
    <row r="16" spans="2:21" x14ac:dyDescent="0.2">
      <c r="I16" s="70"/>
      <c r="J16" s="70"/>
      <c r="K16" s="70"/>
      <c r="L16" s="70"/>
      <c r="M16" s="81"/>
      <c r="O16" s="75">
        <f>+O17-1</f>
        <v>2021</v>
      </c>
      <c r="P16" s="100">
        <v>260728373.56735688</v>
      </c>
      <c r="Q16" s="100">
        <f t="shared" si="2"/>
        <v>4990068.3810478151</v>
      </c>
      <c r="R16" s="101">
        <f t="shared" si="3"/>
        <v>1.9512401075046142E-2</v>
      </c>
      <c r="S16" s="87">
        <f t="shared" si="1"/>
        <v>15983.25</v>
      </c>
      <c r="T16" s="100">
        <f t="shared" si="4"/>
        <v>116.58333333333394</v>
      </c>
      <c r="U16" s="101">
        <f t="shared" si="5"/>
        <v>7.3476890756302904E-3</v>
      </c>
    </row>
    <row r="17" spans="2:21" x14ac:dyDescent="0.2">
      <c r="I17" s="70"/>
      <c r="J17" s="70"/>
      <c r="K17" s="70"/>
      <c r="L17" s="70"/>
      <c r="M17" s="81"/>
      <c r="O17" s="75">
        <v>2022</v>
      </c>
      <c r="P17" s="100">
        <v>268116945.72267458</v>
      </c>
      <c r="Q17" s="100">
        <f t="shared" si="2"/>
        <v>7388572.1553176939</v>
      </c>
      <c r="R17" s="101">
        <f t="shared" si="3"/>
        <v>2.8338197543386744E-2</v>
      </c>
      <c r="S17" s="87">
        <f t="shared" si="1"/>
        <v>16058.75</v>
      </c>
      <c r="T17" s="100">
        <f t="shared" si="4"/>
        <v>75.5</v>
      </c>
      <c r="U17" s="101">
        <f t="shared" si="5"/>
        <v>4.7236951183269984E-3</v>
      </c>
    </row>
    <row r="18" spans="2:21" x14ac:dyDescent="0.2">
      <c r="I18" s="70"/>
      <c r="J18" s="70"/>
      <c r="K18" s="70"/>
      <c r="L18" s="70"/>
      <c r="M18" s="81"/>
      <c r="O18" s="88" t="s">
        <v>155</v>
      </c>
      <c r="P18" s="88">
        <v>261367911.63556185</v>
      </c>
      <c r="Q18" s="88">
        <f t="shared" ref="Q18:Q19" si="6">+P18-P17</f>
        <v>-6749034.0871127248</v>
      </c>
      <c r="R18" s="123">
        <f t="shared" ref="R18:R19" si="7">+Q18/P17</f>
        <v>-2.5171978850204994E-2</v>
      </c>
      <c r="S18" s="88">
        <f t="shared" si="1"/>
        <v>16119.916666666666</v>
      </c>
      <c r="T18" s="88">
        <f t="shared" ref="T18:T19" si="8">+S18-S17</f>
        <v>61.16666666666606</v>
      </c>
      <c r="U18" s="123">
        <f t="shared" ref="U18:U19" si="9">+T18/S17</f>
        <v>3.8089307490723786E-3</v>
      </c>
    </row>
    <row r="19" spans="2:21" x14ac:dyDescent="0.2">
      <c r="I19" s="70"/>
      <c r="J19" s="70"/>
      <c r="K19" s="70"/>
      <c r="L19" s="70"/>
      <c r="M19" s="81"/>
      <c r="O19" s="88" t="s">
        <v>156</v>
      </c>
      <c r="P19" s="88">
        <v>267818285.31859064</v>
      </c>
      <c r="Q19" s="88">
        <f t="shared" si="6"/>
        <v>6450373.6830287874</v>
      </c>
      <c r="R19" s="123">
        <f t="shared" si="7"/>
        <v>2.4679286920357923E-2</v>
      </c>
      <c r="S19" s="88">
        <f t="shared" si="1"/>
        <v>16262.702623938154</v>
      </c>
      <c r="T19" s="88">
        <f t="shared" si="8"/>
        <v>142.78595727148786</v>
      </c>
      <c r="U19" s="123">
        <f t="shared" si="9"/>
        <v>8.8577354476494109E-3</v>
      </c>
    </row>
    <row r="20" spans="2:21" ht="23.25" x14ac:dyDescent="0.35">
      <c r="B20" s="72" t="s">
        <v>110</v>
      </c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81"/>
      <c r="N20" s="47"/>
      <c r="O20" s="47"/>
      <c r="P20" s="47"/>
    </row>
    <row r="21" spans="2:21" ht="15" x14ac:dyDescent="0.2">
      <c r="B21" s="80" t="s">
        <v>80</v>
      </c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47"/>
      <c r="P21" s="47"/>
    </row>
    <row r="22" spans="2:21" ht="14.25" x14ac:dyDescent="0.2">
      <c r="B22" s="79" t="s">
        <v>81</v>
      </c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47"/>
      <c r="P22" s="47"/>
    </row>
    <row r="23" spans="2:21" ht="14.25" x14ac:dyDescent="0.2">
      <c r="B23" s="78" t="s">
        <v>82</v>
      </c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47"/>
      <c r="P23" s="47"/>
    </row>
    <row r="24" spans="2:21" x14ac:dyDescent="0.2"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47" t="s">
        <v>133</v>
      </c>
      <c r="P24" s="47"/>
    </row>
    <row r="25" spans="2:21" ht="24" customHeight="1" x14ac:dyDescent="0.2">
      <c r="B25" s="254" t="s">
        <v>116</v>
      </c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70"/>
      <c r="O25" s="47"/>
      <c r="P25" s="47"/>
    </row>
    <row r="26" spans="2:21" ht="40.5" customHeight="1" x14ac:dyDescent="0.2">
      <c r="B26" s="257" t="s">
        <v>111</v>
      </c>
      <c r="C26" s="76" t="s">
        <v>100</v>
      </c>
      <c r="D26" s="76" t="s">
        <v>112</v>
      </c>
      <c r="E26" s="254" t="s">
        <v>113</v>
      </c>
      <c r="F26" s="256"/>
      <c r="G26" s="254" t="s">
        <v>114</v>
      </c>
      <c r="H26" s="256"/>
      <c r="I26" s="254" t="s">
        <v>68</v>
      </c>
      <c r="J26" s="256" t="s">
        <v>89</v>
      </c>
      <c r="K26" s="76" t="s">
        <v>115</v>
      </c>
      <c r="L26" s="254" t="s">
        <v>11</v>
      </c>
      <c r="M26" s="256" t="s">
        <v>92</v>
      </c>
      <c r="N26" s="70"/>
      <c r="O26" s="47"/>
      <c r="P26" s="47"/>
    </row>
    <row r="27" spans="2:21" ht="24" customHeight="1" x14ac:dyDescent="0.2">
      <c r="B27" s="258"/>
      <c r="C27" s="76" t="s">
        <v>61</v>
      </c>
      <c r="D27" s="76" t="s">
        <v>61</v>
      </c>
      <c r="E27" s="76" t="s">
        <v>61</v>
      </c>
      <c r="F27" s="76" t="s">
        <v>62</v>
      </c>
      <c r="G27" s="76" t="s">
        <v>61</v>
      </c>
      <c r="H27" s="76" t="s">
        <v>62</v>
      </c>
      <c r="I27" s="76" t="s">
        <v>61</v>
      </c>
      <c r="J27" s="76" t="s">
        <v>62</v>
      </c>
      <c r="K27" s="76" t="s">
        <v>61</v>
      </c>
      <c r="L27" s="76" t="s">
        <v>61</v>
      </c>
      <c r="M27" s="76" t="s">
        <v>62</v>
      </c>
      <c r="N27" s="70"/>
      <c r="O27" s="47"/>
      <c r="P27" s="47"/>
    </row>
    <row r="28" spans="2:21" x14ac:dyDescent="0.2">
      <c r="B28" s="88" t="s">
        <v>183</v>
      </c>
      <c r="C28" s="88">
        <v>90278404</v>
      </c>
      <c r="D28" s="88">
        <v>37678912</v>
      </c>
      <c r="E28" s="88">
        <v>121733913</v>
      </c>
      <c r="F28" s="88">
        <v>293725</v>
      </c>
      <c r="G28" s="88">
        <v>1861618</v>
      </c>
      <c r="H28" s="88">
        <v>5230</v>
      </c>
      <c r="I28" s="88">
        <v>122536</v>
      </c>
      <c r="J28" s="88">
        <v>339</v>
      </c>
      <c r="K28" s="88">
        <v>358304</v>
      </c>
      <c r="L28" s="88">
        <f>+C28+D28+E28+G28+I28+K28</f>
        <v>252033687</v>
      </c>
      <c r="M28" s="88">
        <f>F28+H28+J28</f>
        <v>299294</v>
      </c>
      <c r="N28" s="70"/>
      <c r="O28" s="47"/>
      <c r="P28" s="47"/>
    </row>
    <row r="29" spans="2:21" x14ac:dyDescent="0.2">
      <c r="B29" s="75">
        <f t="shared" ref="B29:B36" si="10">+B30-1</f>
        <v>2013</v>
      </c>
      <c r="C29" s="87">
        <f>SUMIF(Inputs!$B:$B,Summaries!$B29,Inputs!$P:$P)</f>
        <v>86202261.746603757</v>
      </c>
      <c r="D29" s="87">
        <f>SUMIF(Inputs!$B:$B,Summaries!$B29,Inputs!$R:$R)</f>
        <v>36449901.791789994</v>
      </c>
      <c r="E29" s="87">
        <f>SUMIF(Inputs!$B:$B,Summaries!$B29,Inputs!$T:$T)</f>
        <v>120958839.52983999</v>
      </c>
      <c r="F29" s="87">
        <f>SUMIF(Inputs!$B:$B,Summaries!$B29,Inputs!$U:$U)</f>
        <v>290086.77981047268</v>
      </c>
      <c r="G29" s="87">
        <f>SUMIF(Inputs!$B:$B,Summaries!$B29,Inputs!$W:$W)</f>
        <v>1712978.1604808702</v>
      </c>
      <c r="H29" s="87">
        <f>SUMIF(Inputs!$B:$B,Summaries!$B29,Inputs!$X:$X)</f>
        <v>4780.3</v>
      </c>
      <c r="I29" s="87">
        <f>SUMIF(Inputs!$B:$B,Summaries!$B29,Inputs!$Z:$Z)</f>
        <v>106011.51098813729</v>
      </c>
      <c r="J29" s="87">
        <f>SUMIF(Inputs!$B:$B,Summaries!$B29,Inputs!$AA:$AA)</f>
        <v>292.3</v>
      </c>
      <c r="K29" s="87">
        <f>SUMIF(Inputs!$B:$B,Summaries!$B29,Inputs!$AC:$AC)</f>
        <v>384409.53280539409</v>
      </c>
      <c r="L29" s="87">
        <f>+C29+D29+E29+G29+I29+K29</f>
        <v>245814402.27250811</v>
      </c>
      <c r="M29" s="87">
        <f>F29+H29+J29</f>
        <v>295159.37981047266</v>
      </c>
      <c r="N29" s="70"/>
      <c r="O29" s="47"/>
      <c r="P29" s="47"/>
    </row>
    <row r="30" spans="2:21" x14ac:dyDescent="0.2">
      <c r="B30" s="75">
        <f t="shared" si="10"/>
        <v>2014</v>
      </c>
      <c r="C30" s="87">
        <f>SUMIF(Inputs!$B:$B,Summaries!$B30,Inputs!$P:$P)</f>
        <v>85816558.384570569</v>
      </c>
      <c r="D30" s="87">
        <f>SUMIF(Inputs!$B:$B,Summaries!$B30,Inputs!$R:$R)</f>
        <v>35415553.049546637</v>
      </c>
      <c r="E30" s="87">
        <f>SUMIF(Inputs!$B:$B,Summaries!$B30,Inputs!$T:$T)</f>
        <v>124098101.67349331</v>
      </c>
      <c r="F30" s="87">
        <f>SUMIF(Inputs!$B:$B,Summaries!$B30,Inputs!$U:$U)</f>
        <v>295326.6614777061</v>
      </c>
      <c r="G30" s="87">
        <f>SUMIF(Inputs!$B:$B,Summaries!$B30,Inputs!$W:$W)</f>
        <v>1731641.5322965365</v>
      </c>
      <c r="H30" s="87">
        <f>SUMIF(Inputs!$B:$B,Summaries!$B30,Inputs!$X:$X)</f>
        <v>4826.93</v>
      </c>
      <c r="I30" s="87">
        <f>SUMIF(Inputs!$B:$B,Summaries!$B30,Inputs!$Z:$Z)</f>
        <v>105133.19775921054</v>
      </c>
      <c r="J30" s="87">
        <f>SUMIF(Inputs!$B:$B,Summaries!$B30,Inputs!$AA:$AA)</f>
        <v>289.40000000000003</v>
      </c>
      <c r="K30" s="87">
        <f>SUMIF(Inputs!$B:$B,Summaries!$B30,Inputs!$AC:$AC)</f>
        <v>386243.36172938795</v>
      </c>
      <c r="L30" s="87">
        <f>+C30+D30+E30+G30+I30+K30</f>
        <v>247553231.19939566</v>
      </c>
      <c r="M30" s="87">
        <f t="shared" ref="M30:M38" si="11">F30+H30+J30</f>
        <v>300442.99147770612</v>
      </c>
      <c r="N30" s="70"/>
      <c r="O30" s="47"/>
      <c r="P30" s="47"/>
    </row>
    <row r="31" spans="2:21" x14ac:dyDescent="0.2">
      <c r="B31" s="75">
        <f t="shared" si="10"/>
        <v>2015</v>
      </c>
      <c r="C31" s="87">
        <f>SUMIF(Inputs!$B:$B,Summaries!$B31,Inputs!$P:$P)</f>
        <v>85926418.71876052</v>
      </c>
      <c r="D31" s="87">
        <f>SUMIF(Inputs!$B:$B,Summaries!$B31,Inputs!$R:$R)</f>
        <v>34168176.853738427</v>
      </c>
      <c r="E31" s="87">
        <f>SUMIF(Inputs!$B:$B,Summaries!$B31,Inputs!$T:$T)</f>
        <v>125378255.77477828</v>
      </c>
      <c r="F31" s="87">
        <f>SUMIF(Inputs!$B:$B,Summaries!$B31,Inputs!$U:$U)</f>
        <v>290455.41448504326</v>
      </c>
      <c r="G31" s="87">
        <f>SUMIF(Inputs!$B:$B,Summaries!$B31,Inputs!$W:$W)</f>
        <v>1629825.7799828262</v>
      </c>
      <c r="H31" s="87">
        <f>SUMIF(Inputs!$B:$B,Summaries!$B31,Inputs!$X:$X)</f>
        <v>4599.0700000000006</v>
      </c>
      <c r="I31" s="87">
        <f>SUMIF(Inputs!$B:$B,Summaries!$B31,Inputs!$Z:$Z)</f>
        <v>104029.99681696936</v>
      </c>
      <c r="J31" s="87">
        <f>SUMIF(Inputs!$B:$B,Summaries!$B31,Inputs!$AA:$AA)</f>
        <v>286.49</v>
      </c>
      <c r="K31" s="87">
        <f>SUMIF(Inputs!$B:$B,Summaries!$B31,Inputs!$AC:$AC)</f>
        <v>382513.80184551654</v>
      </c>
      <c r="L31" s="87">
        <f t="shared" ref="L31:L38" si="12">+C31+D31+E31+G31+I31+K31</f>
        <v>247589220.92592254</v>
      </c>
      <c r="M31" s="87">
        <f t="shared" si="11"/>
        <v>295340.97448504326</v>
      </c>
      <c r="N31" s="70"/>
      <c r="O31" s="47"/>
      <c r="P31" s="47"/>
    </row>
    <row r="32" spans="2:21" x14ac:dyDescent="0.2">
      <c r="B32" s="75">
        <f t="shared" si="10"/>
        <v>2016</v>
      </c>
      <c r="C32" s="87">
        <f>SUMIF(Inputs!$B:$B,Summaries!$B32,Inputs!$P:$P)</f>
        <v>86214190.382619157</v>
      </c>
      <c r="D32" s="87">
        <f>SUMIF(Inputs!$B:$B,Summaries!$B32,Inputs!$R:$R)</f>
        <v>34455638.026827835</v>
      </c>
      <c r="E32" s="87">
        <f>SUMIF(Inputs!$B:$B,Summaries!$B32,Inputs!$T:$T)</f>
        <v>127668955.87607671</v>
      </c>
      <c r="F32" s="87">
        <f>SUMIF(Inputs!$B:$B,Summaries!$B32,Inputs!$U:$U)</f>
        <v>308868.24605865555</v>
      </c>
      <c r="G32" s="87">
        <f>SUMIF(Inputs!$B:$B,Summaries!$B32,Inputs!$W:$W)</f>
        <v>890659.09741436888</v>
      </c>
      <c r="H32" s="87">
        <f>SUMIF(Inputs!$B:$B,Summaries!$B32,Inputs!$X:$X)</f>
        <v>2461.8700000000003</v>
      </c>
      <c r="I32" s="87">
        <f>SUMIF(Inputs!$B:$B,Summaries!$B32,Inputs!$Z:$Z)</f>
        <v>105564.9286945004</v>
      </c>
      <c r="J32" s="87">
        <f>SUMIF(Inputs!$B:$B,Summaries!$B32,Inputs!$AA:$AA)</f>
        <v>289.30000000000007</v>
      </c>
      <c r="K32" s="87">
        <f>SUMIF(Inputs!$B:$B,Summaries!$B32,Inputs!$AC:$AC)</f>
        <v>401383.11638747668</v>
      </c>
      <c r="L32" s="87">
        <f t="shared" si="12"/>
        <v>249736391.42802006</v>
      </c>
      <c r="M32" s="87">
        <f t="shared" si="11"/>
        <v>311619.41605865554</v>
      </c>
      <c r="N32" s="70"/>
      <c r="O32" s="47"/>
      <c r="P32" s="47"/>
    </row>
    <row r="33" spans="2:16" x14ac:dyDescent="0.2">
      <c r="B33" s="75">
        <f t="shared" si="10"/>
        <v>2017</v>
      </c>
      <c r="C33" s="87">
        <f>SUMIF(Inputs!$B:$B,Summaries!$B33,Inputs!$P:$P)</f>
        <v>83878663.289841563</v>
      </c>
      <c r="D33" s="87">
        <f>SUMIF(Inputs!$B:$B,Summaries!$B33,Inputs!$R:$R)</f>
        <v>34387085.601475</v>
      </c>
      <c r="E33" s="87">
        <f>SUMIF(Inputs!$B:$B,Summaries!$B33,Inputs!$T:$T)</f>
        <v>126121327.86469257</v>
      </c>
      <c r="F33" s="87">
        <f>SUMIF(Inputs!$B:$B,Summaries!$B33,Inputs!$U:$U)</f>
        <v>297257.4140142221</v>
      </c>
      <c r="G33" s="87">
        <f>SUMIF(Inputs!$B:$B,Summaries!$B33,Inputs!$W:$W)</f>
        <v>863294.61883408076</v>
      </c>
      <c r="H33" s="87">
        <f>SUMIF(Inputs!$B:$B,Summaries!$B33,Inputs!$X:$X)</f>
        <v>2404.58</v>
      </c>
      <c r="I33" s="87">
        <f>SUMIF(Inputs!$B:$B,Summaries!$B33,Inputs!$Z:$Z)</f>
        <v>103381.18500143119</v>
      </c>
      <c r="J33" s="87">
        <f>SUMIF(Inputs!$B:$B,Summaries!$B33,Inputs!$AA:$AA)</f>
        <v>310.00000000000006</v>
      </c>
      <c r="K33" s="87">
        <f>SUMIF(Inputs!$B:$B,Summaries!$B33,Inputs!$AC:$AC)</f>
        <v>380609.58741668583</v>
      </c>
      <c r="L33" s="87">
        <f t="shared" si="12"/>
        <v>245734362.14726132</v>
      </c>
      <c r="M33" s="87">
        <f t="shared" si="11"/>
        <v>299971.99401422212</v>
      </c>
      <c r="N33" s="70"/>
      <c r="O33" s="47"/>
      <c r="P33" s="47"/>
    </row>
    <row r="34" spans="2:16" x14ac:dyDescent="0.2">
      <c r="B34" s="75">
        <f t="shared" si="10"/>
        <v>2018</v>
      </c>
      <c r="C34" s="87">
        <f>SUMIF(Inputs!$B:$B,Summaries!$B34,Inputs!$P:$P)</f>
        <v>91709432.73716554</v>
      </c>
      <c r="D34" s="87">
        <f>SUMIF(Inputs!$B:$B,Summaries!$B34,Inputs!$R:$R)</f>
        <v>35759952.621808477</v>
      </c>
      <c r="E34" s="87">
        <f>SUMIF(Inputs!$B:$B,Summaries!$B34,Inputs!$T:$T)</f>
        <v>129174185.21677302</v>
      </c>
      <c r="F34" s="87">
        <f>SUMIF(Inputs!$B:$B,Summaries!$B34,Inputs!$U:$U)</f>
        <v>299851.59780658461</v>
      </c>
      <c r="G34" s="87">
        <f>SUMIF(Inputs!$B:$B,Summaries!$B34,Inputs!$W:$W)</f>
        <v>870905.41933021648</v>
      </c>
      <c r="H34" s="87">
        <f>SUMIF(Inputs!$B:$B,Summaries!$B34,Inputs!$X:$X)</f>
        <v>2423.3099999999995</v>
      </c>
      <c r="I34" s="87">
        <f>SUMIF(Inputs!$B:$B,Summaries!$B34,Inputs!$Z:$Z)</f>
        <v>102424.28203415705</v>
      </c>
      <c r="J34" s="87">
        <f>SUMIF(Inputs!$B:$B,Summaries!$B34,Inputs!$AA:$AA)</f>
        <v>280.60000000000002</v>
      </c>
      <c r="K34" s="87">
        <f>SUMIF(Inputs!$B:$B,Summaries!$B34,Inputs!$AC:$AC)</f>
        <v>375339.18519225245</v>
      </c>
      <c r="L34" s="87">
        <f t="shared" si="12"/>
        <v>257992239.46230364</v>
      </c>
      <c r="M34" s="87">
        <f t="shared" si="11"/>
        <v>302555.50780658459</v>
      </c>
      <c r="N34" s="70"/>
      <c r="O34" s="47"/>
      <c r="P34" s="47"/>
    </row>
    <row r="35" spans="2:16" x14ac:dyDescent="0.2">
      <c r="B35" s="75">
        <f t="shared" si="10"/>
        <v>2019</v>
      </c>
      <c r="C35" s="87">
        <f>SUMIF(Inputs!$B:$B,Summaries!$B35,Inputs!$P:$P)</f>
        <v>89180443.270875081</v>
      </c>
      <c r="D35" s="87">
        <f>SUMIF(Inputs!$B:$B,Summaries!$B35,Inputs!$R:$R)</f>
        <v>34942744.746606827</v>
      </c>
      <c r="E35" s="87">
        <f>SUMIF(Inputs!$B:$B,Summaries!$B35,Inputs!$T:$T)</f>
        <v>128454739.12581007</v>
      </c>
      <c r="F35" s="87">
        <f>SUMIF(Inputs!$B:$B,Summaries!$B35,Inputs!$U:$U)</f>
        <v>300898.82119152404</v>
      </c>
      <c r="G35" s="87">
        <f>SUMIF(Inputs!$B:$B,Summaries!$B35,Inputs!$W:$W)</f>
        <v>883464.17326590978</v>
      </c>
      <c r="H35" s="87">
        <f>SUMIF(Inputs!$B:$B,Summaries!$B35,Inputs!$X:$X)</f>
        <v>2459.6399999999994</v>
      </c>
      <c r="I35" s="87">
        <f>SUMIF(Inputs!$B:$B,Summaries!$B35,Inputs!$Z:$Z)</f>
        <v>102754.57494513884</v>
      </c>
      <c r="J35" s="87">
        <f>SUMIF(Inputs!$B:$B,Summaries!$B35,Inputs!$AA:$AA)</f>
        <v>283.8</v>
      </c>
      <c r="K35" s="87">
        <f>SUMIF(Inputs!$B:$B,Summaries!$B35,Inputs!$AC:$AC)</f>
        <v>375339.18519225245</v>
      </c>
      <c r="L35" s="87">
        <f t="shared" si="12"/>
        <v>253939485.07669529</v>
      </c>
      <c r="M35" s="87">
        <f t="shared" si="11"/>
        <v>303642.26119152404</v>
      </c>
      <c r="N35" s="70"/>
      <c r="O35" s="47"/>
      <c r="P35" s="47"/>
    </row>
    <row r="36" spans="2:16" x14ac:dyDescent="0.2">
      <c r="B36" s="75">
        <f t="shared" si="10"/>
        <v>2020</v>
      </c>
      <c r="C36" s="87">
        <f>SUMIF(Inputs!$B:$B,Summaries!$B36,Inputs!$P:$P)</f>
        <v>95587067.984431669</v>
      </c>
      <c r="D36" s="87">
        <f>SUMIF(Inputs!$B:$B,Summaries!$B36,Inputs!$R:$R)</f>
        <v>33629605.964253612</v>
      </c>
      <c r="E36" s="87">
        <f>SUMIF(Inputs!$B:$B,Summaries!$B36,Inputs!$T:$T)</f>
        <v>125161845.88317287</v>
      </c>
      <c r="F36" s="87">
        <f>SUMIF(Inputs!$B:$B,Summaries!$B36,Inputs!$U:$U)</f>
        <v>281171.19930808013</v>
      </c>
      <c r="G36" s="87">
        <f>SUMIF(Inputs!$B:$B,Summaries!$B36,Inputs!$W:$W)</f>
        <v>881690.64974716154</v>
      </c>
      <c r="H36" s="87">
        <f>SUMIF(Inputs!$B:$B,Summaries!$B36,Inputs!$X:$X)</f>
        <v>2445.92</v>
      </c>
      <c r="I36" s="87">
        <f>SUMIF(Inputs!$B:$B,Summaries!$B36,Inputs!$Z:$Z)</f>
        <v>102755.519511497</v>
      </c>
      <c r="J36" s="87">
        <f>SUMIF(Inputs!$B:$B,Summaries!$B36,Inputs!$AA:$AA)</f>
        <v>282.2</v>
      </c>
      <c r="K36" s="87">
        <f>SUMIF(Inputs!$B:$B,Summaries!$B36,Inputs!$AC:$AC)</f>
        <v>375339.18519225245</v>
      </c>
      <c r="L36" s="87">
        <f t="shared" si="12"/>
        <v>255738305.18630907</v>
      </c>
      <c r="M36" s="87">
        <f t="shared" si="11"/>
        <v>283899.31930808013</v>
      </c>
      <c r="N36" s="70"/>
      <c r="O36" s="47"/>
      <c r="P36" s="47"/>
    </row>
    <row r="37" spans="2:16" x14ac:dyDescent="0.2">
      <c r="B37" s="75">
        <f>+B38-1</f>
        <v>2021</v>
      </c>
      <c r="C37" s="87">
        <f>SUMIF(Inputs!$B:$B,Summaries!$B37,Inputs!$P:$P)</f>
        <v>95087325.556198344</v>
      </c>
      <c r="D37" s="87">
        <f>SUMIF(Inputs!$B:$B,Summaries!$B37,Inputs!$R:$R)</f>
        <v>33533529.262311421</v>
      </c>
      <c r="E37" s="87">
        <f>SUMIF(Inputs!$B:$B,Summaries!$B37,Inputs!$T:$T)</f>
        <v>130759586.91982318</v>
      </c>
      <c r="F37" s="87">
        <f>SUMIF(Inputs!$B:$B,Summaries!$B37,Inputs!$U:$U)</f>
        <v>301675.62</v>
      </c>
      <c r="G37" s="87">
        <f>SUMIF(Inputs!$B:$B,Summaries!$B37,Inputs!$W:$W)</f>
        <v>870117.8322679135</v>
      </c>
      <c r="H37" s="87">
        <f>SUMIF(Inputs!$B:$B,Summaries!$B37,Inputs!$X:$X)</f>
        <v>2420.3500000000004</v>
      </c>
      <c r="I37" s="87">
        <f>SUMIF(Inputs!$B:$B,Summaries!$B37,Inputs!$Z:$Z)</f>
        <v>102474.81156378207</v>
      </c>
      <c r="J37" s="87">
        <f>SUMIF(Inputs!$B:$B,Summaries!$B37,Inputs!$AA:$AA)</f>
        <v>282</v>
      </c>
      <c r="K37" s="87">
        <f>SUMIF(Inputs!$B:$B,Summaries!$B37,Inputs!$AC:$AC)</f>
        <v>375339.18519225245</v>
      </c>
      <c r="L37" s="87">
        <f t="shared" si="12"/>
        <v>260728373.56735688</v>
      </c>
      <c r="M37" s="87">
        <f t="shared" si="11"/>
        <v>304377.96999999997</v>
      </c>
      <c r="N37" s="70"/>
      <c r="O37" s="47"/>
      <c r="P37" s="47"/>
    </row>
    <row r="38" spans="2:16" x14ac:dyDescent="0.2">
      <c r="B38" s="75">
        <v>2022</v>
      </c>
      <c r="C38" s="87">
        <f>SUMIF(Inputs!$B:$B,Summaries!$B38,Inputs!$P:$P)</f>
        <v>95371627.720710099</v>
      </c>
      <c r="D38" s="87">
        <f>SUMIF(Inputs!$B:$B,Summaries!$B38,Inputs!$R:$R)</f>
        <v>35235863.474724725</v>
      </c>
      <c r="E38" s="87">
        <f>SUMIF(Inputs!$B:$B,Summaries!$B38,Inputs!$T:$T)</f>
        <v>136159366.09102184</v>
      </c>
      <c r="F38" s="87">
        <f>SUMIF(Inputs!$B:$B,Summaries!$B38,Inputs!$U:$U)</f>
        <v>317681.46000000008</v>
      </c>
      <c r="G38" s="87">
        <f>SUMIF(Inputs!$B:$B,Summaries!$B38,Inputs!$W:$W)</f>
        <v>875006.27802690573</v>
      </c>
      <c r="H38" s="87">
        <f>SUMIF(Inputs!$B:$B,Summaries!$B38,Inputs!$X:$X)</f>
        <v>2434.08</v>
      </c>
      <c r="I38" s="87">
        <f>SUMIF(Inputs!$B:$B,Summaries!$B38,Inputs!$Z:$Z)</f>
        <v>99742.972998759651</v>
      </c>
      <c r="J38" s="87">
        <f>SUMIF(Inputs!$B:$B,Summaries!$B38,Inputs!$AA:$AA)</f>
        <v>278.2</v>
      </c>
      <c r="K38" s="87">
        <f>SUMIF(Inputs!$B:$B,Summaries!$B38,Inputs!$AC:$AC)</f>
        <v>375339.18519225251</v>
      </c>
      <c r="L38" s="87">
        <f t="shared" si="12"/>
        <v>268116945.72267458</v>
      </c>
      <c r="M38" s="87">
        <f t="shared" si="11"/>
        <v>320393.74000000011</v>
      </c>
      <c r="N38" s="70"/>
      <c r="O38" s="47"/>
      <c r="P38" s="47"/>
    </row>
    <row r="39" spans="2:16" x14ac:dyDescent="0.2">
      <c r="B39" s="88" t="s">
        <v>155</v>
      </c>
      <c r="C39" s="88">
        <f>+Summary!L15</f>
        <v>92245274.064317778</v>
      </c>
      <c r="D39" s="88">
        <f>+Summary!L19</f>
        <v>34781027.104293205</v>
      </c>
      <c r="E39" s="88">
        <f>+Summary!L23</f>
        <v>133009595.25443071</v>
      </c>
      <c r="F39" s="88">
        <f>+Summary!L24</f>
        <v>312958.84992735123</v>
      </c>
      <c r="G39" s="88">
        <f>+Summary!L28</f>
        <v>864270.66831873998</v>
      </c>
      <c r="H39" s="88">
        <f>+Summary!L29</f>
        <v>2424.0839715283414</v>
      </c>
      <c r="I39" s="88">
        <f>+Summary!L33</f>
        <v>99127.487835130218</v>
      </c>
      <c r="J39" s="88">
        <f>+Summary!L34</f>
        <v>275.53977957995676</v>
      </c>
      <c r="K39" s="88">
        <f>+Summary!L38</f>
        <v>368617.05636627553</v>
      </c>
      <c r="L39" s="88">
        <f t="shared" ref="L39:L40" si="13">+C39+D39+E39+G39+I39+K39</f>
        <v>261367911.63556185</v>
      </c>
      <c r="M39" s="88">
        <f t="shared" ref="M39:M40" si="14">F39+H39+J39</f>
        <v>315658.47367845953</v>
      </c>
      <c r="N39" s="70"/>
      <c r="O39" s="47"/>
      <c r="P39" s="47"/>
    </row>
    <row r="40" spans="2:16" x14ac:dyDescent="0.2">
      <c r="B40" s="88" t="s">
        <v>156</v>
      </c>
      <c r="C40" s="88">
        <f>+Summary!M15</f>
        <v>95562230.878257319</v>
      </c>
      <c r="D40" s="88">
        <f>+Summary!M19</f>
        <v>35768954.196158841</v>
      </c>
      <c r="E40" s="88">
        <f>+Summary!M23</f>
        <v>135154245.19000375</v>
      </c>
      <c r="F40" s="88">
        <f>+Summary!M24</f>
        <v>317655.44335731986</v>
      </c>
      <c r="G40" s="88">
        <f>+Summary!M28</f>
        <v>867518.63090335811</v>
      </c>
      <c r="H40" s="88">
        <f>+Summary!M29</f>
        <v>2415.7713744567136</v>
      </c>
      <c r="I40" s="88">
        <f>+Summary!M33</f>
        <v>99190.848539410261</v>
      </c>
      <c r="J40" s="88">
        <f>+Summary!M34</f>
        <v>275.71590019869365</v>
      </c>
      <c r="K40" s="88">
        <f>+Summary!M38</f>
        <v>366145.57472795661</v>
      </c>
      <c r="L40" s="88">
        <f t="shared" si="13"/>
        <v>267818285.31859064</v>
      </c>
      <c r="M40" s="88">
        <f t="shared" si="14"/>
        <v>320346.93063197524</v>
      </c>
      <c r="N40" s="70"/>
      <c r="O40" s="47"/>
      <c r="P40" s="47"/>
    </row>
    <row r="42" spans="2:16" x14ac:dyDescent="0.2">
      <c r="C42">
        <v>1</v>
      </c>
      <c r="D42">
        <v>2</v>
      </c>
      <c r="E42">
        <v>3</v>
      </c>
      <c r="F42">
        <v>4</v>
      </c>
      <c r="G42">
        <v>5</v>
      </c>
      <c r="H42">
        <v>6</v>
      </c>
      <c r="I42">
        <v>7</v>
      </c>
      <c r="J42">
        <v>8</v>
      </c>
      <c r="K42">
        <v>9</v>
      </c>
      <c r="L42">
        <v>10</v>
      </c>
      <c r="M42">
        <v>11</v>
      </c>
      <c r="N42">
        <v>12</v>
      </c>
    </row>
    <row r="43" spans="2:16" ht="23.25" x14ac:dyDescent="0.35">
      <c r="B43" s="72" t="s">
        <v>133</v>
      </c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81"/>
      <c r="N43" s="47"/>
      <c r="O43" s="47"/>
      <c r="P43" s="47"/>
    </row>
    <row r="44" spans="2:16" ht="15" x14ac:dyDescent="0.2">
      <c r="B44" s="80" t="s">
        <v>80</v>
      </c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47"/>
      <c r="P44" s="47"/>
    </row>
    <row r="45" spans="2:16" ht="14.25" x14ac:dyDescent="0.2">
      <c r="B45" s="79"/>
      <c r="C45" s="70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47"/>
      <c r="P45" s="47"/>
    </row>
    <row r="46" spans="2:16" ht="14.25" x14ac:dyDescent="0.2">
      <c r="B46" s="78"/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47"/>
      <c r="P46" s="47"/>
    </row>
    <row r="47" spans="2:16" x14ac:dyDescent="0.2">
      <c r="B47" s="181" t="s">
        <v>255</v>
      </c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47" t="s">
        <v>133</v>
      </c>
      <c r="P47" s="47"/>
    </row>
    <row r="48" spans="2:16" ht="24" customHeight="1" x14ac:dyDescent="0.2">
      <c r="B48" s="254" t="s">
        <v>134</v>
      </c>
      <c r="C48" s="255"/>
      <c r="D48" s="255"/>
      <c r="E48" s="255"/>
      <c r="F48" s="255"/>
      <c r="G48" s="255"/>
      <c r="H48" s="255"/>
      <c r="I48" s="255"/>
      <c r="J48" s="70"/>
      <c r="K48" s="70"/>
      <c r="L48" s="70"/>
      <c r="M48" s="70"/>
      <c r="N48" s="70"/>
      <c r="O48" s="47"/>
      <c r="P48" s="47"/>
    </row>
    <row r="49" spans="2:16" ht="40.5" customHeight="1" x14ac:dyDescent="0.2">
      <c r="B49" s="95" t="s">
        <v>111</v>
      </c>
      <c r="C49" s="76" t="s">
        <v>100</v>
      </c>
      <c r="D49" s="76" t="s">
        <v>112</v>
      </c>
      <c r="E49" s="96" t="s">
        <v>113</v>
      </c>
      <c r="F49" s="96" t="s">
        <v>114</v>
      </c>
      <c r="G49" s="96" t="s">
        <v>68</v>
      </c>
      <c r="H49" s="76" t="s">
        <v>115</v>
      </c>
      <c r="I49" s="96" t="s">
        <v>11</v>
      </c>
      <c r="J49" s="70"/>
      <c r="N49" s="70"/>
      <c r="O49" s="47"/>
      <c r="P49" s="47"/>
    </row>
    <row r="50" spans="2:16" ht="12.75" customHeight="1" x14ac:dyDescent="0.2">
      <c r="B50" s="88" t="s">
        <v>183</v>
      </c>
      <c r="C50" s="88">
        <v>10325</v>
      </c>
      <c r="D50" s="88">
        <v>1141</v>
      </c>
      <c r="E50" s="88">
        <v>124</v>
      </c>
      <c r="F50" s="88">
        <v>2870</v>
      </c>
      <c r="G50" s="88">
        <v>155</v>
      </c>
      <c r="H50" s="88">
        <v>104</v>
      </c>
      <c r="I50" s="88">
        <v>14719</v>
      </c>
      <c r="J50" s="70"/>
      <c r="N50" s="70"/>
      <c r="O50" s="47"/>
      <c r="P50" s="47"/>
    </row>
    <row r="51" spans="2:16" x14ac:dyDescent="0.2">
      <c r="B51" s="75">
        <f t="shared" ref="B51:B58" si="15">+B52-1</f>
        <v>2013</v>
      </c>
      <c r="C51" s="87" cm="1">
        <f t="array" ref="C51:C62">TRANSPOSE(Summary!B14:M14)</f>
        <v>10211.583333333334</v>
      </c>
      <c r="D51" s="87" cm="1">
        <f t="array" ref="D51:D62">TRANSPOSE(Summary!B18:M18)</f>
        <v>1122.75</v>
      </c>
      <c r="E51" s="87" cm="1">
        <f t="array" ref="E51:E62">TRANSPOSE(Summary!B22:M22)</f>
        <v>124.66666666666667</v>
      </c>
      <c r="F51" s="87" cm="1">
        <f t="array" ref="F51:F62">TRANSPOSE(Summary!B27:M27)</f>
        <v>2853.9166666666665</v>
      </c>
      <c r="G51" s="87" cm="1">
        <f t="array" ref="G51:G62">TRANSPOSE(Summary!B32:M32)</f>
        <v>156</v>
      </c>
      <c r="H51" s="87" cm="1">
        <f t="array" ref="H51:H62">TRANSPOSE(Summary!B37:M37)</f>
        <v>103.75</v>
      </c>
      <c r="I51" s="87">
        <f>SUM(C51:H51)</f>
        <v>14572.666666666666</v>
      </c>
      <c r="J51" s="70"/>
      <c r="N51" s="70"/>
      <c r="O51" s="47"/>
      <c r="P51" s="47"/>
    </row>
    <row r="52" spans="2:16" x14ac:dyDescent="0.2">
      <c r="B52" s="75">
        <f t="shared" si="15"/>
        <v>2014</v>
      </c>
      <c r="C52" s="87">
        <v>10344.166666666666</v>
      </c>
      <c r="D52" s="87">
        <v>1138.4166666666667</v>
      </c>
      <c r="E52" s="87">
        <v>132.08333333333334</v>
      </c>
      <c r="F52" s="87">
        <v>2895.75</v>
      </c>
      <c r="G52" s="87">
        <v>152.16666666666666</v>
      </c>
      <c r="H52" s="87">
        <v>104</v>
      </c>
      <c r="I52" s="87">
        <f t="shared" ref="I52:I62" si="16">SUM(C52:H52)</f>
        <v>14766.583333333332</v>
      </c>
      <c r="J52" s="70"/>
      <c r="N52" s="70"/>
      <c r="O52" s="47"/>
      <c r="P52" s="47"/>
    </row>
    <row r="53" spans="2:16" x14ac:dyDescent="0.2">
      <c r="B53" s="75">
        <f t="shared" si="15"/>
        <v>2015</v>
      </c>
      <c r="C53" s="87">
        <v>10502.083333333334</v>
      </c>
      <c r="D53" s="87">
        <v>1133.75</v>
      </c>
      <c r="E53" s="87">
        <v>138.75</v>
      </c>
      <c r="F53" s="87">
        <v>2916.25</v>
      </c>
      <c r="G53" s="87">
        <v>150.83333333333334</v>
      </c>
      <c r="H53" s="87">
        <v>96.5</v>
      </c>
      <c r="I53" s="87">
        <f t="shared" si="16"/>
        <v>14938.166666666668</v>
      </c>
      <c r="J53" s="70"/>
      <c r="N53" s="70"/>
      <c r="O53" s="47"/>
      <c r="P53" s="47"/>
    </row>
    <row r="54" spans="2:16" x14ac:dyDescent="0.2">
      <c r="B54" s="75">
        <f t="shared" si="15"/>
        <v>2016</v>
      </c>
      <c r="C54" s="87">
        <v>10634.083333333334</v>
      </c>
      <c r="D54" s="87">
        <v>1133.0833333333333</v>
      </c>
      <c r="E54" s="87">
        <v>139.91666666666666</v>
      </c>
      <c r="F54" s="87">
        <v>2852.25</v>
      </c>
      <c r="G54" s="87">
        <v>152.41666666666666</v>
      </c>
      <c r="H54" s="87">
        <v>97</v>
      </c>
      <c r="I54" s="87">
        <f t="shared" si="16"/>
        <v>15008.75</v>
      </c>
      <c r="J54" s="70"/>
      <c r="N54" s="70"/>
      <c r="O54" s="47"/>
      <c r="P54" s="47"/>
    </row>
    <row r="55" spans="2:16" x14ac:dyDescent="0.2">
      <c r="B55" s="75">
        <f t="shared" si="15"/>
        <v>2017</v>
      </c>
      <c r="C55" s="87">
        <v>10912.666666666666</v>
      </c>
      <c r="D55" s="87">
        <v>1143.1666666666667</v>
      </c>
      <c r="E55" s="87">
        <v>134.33333333333334</v>
      </c>
      <c r="F55" s="87">
        <v>2876.75</v>
      </c>
      <c r="G55" s="87">
        <v>150.83333333333334</v>
      </c>
      <c r="H55" s="87">
        <v>97</v>
      </c>
      <c r="I55" s="87">
        <f t="shared" si="16"/>
        <v>15314.75</v>
      </c>
      <c r="J55" s="70"/>
      <c r="N55" s="70"/>
      <c r="O55" s="47"/>
      <c r="P55" s="47"/>
    </row>
    <row r="56" spans="2:16" x14ac:dyDescent="0.2">
      <c r="B56" s="75">
        <f t="shared" si="15"/>
        <v>2018</v>
      </c>
      <c r="C56" s="87">
        <v>11219.083333333334</v>
      </c>
      <c r="D56" s="87">
        <v>1154.5</v>
      </c>
      <c r="E56" s="87">
        <v>135.91666666666666</v>
      </c>
      <c r="F56" s="87">
        <v>2900</v>
      </c>
      <c r="G56" s="87">
        <v>153.66666666666666</v>
      </c>
      <c r="H56" s="87">
        <v>97</v>
      </c>
      <c r="I56" s="87">
        <f t="shared" si="16"/>
        <v>15660.166666666666</v>
      </c>
      <c r="J56" s="70"/>
      <c r="N56" s="70"/>
      <c r="O56" s="47"/>
      <c r="P56" s="47"/>
    </row>
    <row r="57" spans="2:16" x14ac:dyDescent="0.2">
      <c r="B57" s="75">
        <f t="shared" si="15"/>
        <v>2019</v>
      </c>
      <c r="C57" s="87">
        <v>11336</v>
      </c>
      <c r="D57" s="87">
        <v>1164.0833333333333</v>
      </c>
      <c r="E57" s="87">
        <v>132.25</v>
      </c>
      <c r="F57" s="87">
        <v>2939</v>
      </c>
      <c r="G57" s="87">
        <v>155.5</v>
      </c>
      <c r="H57" s="87">
        <v>97</v>
      </c>
      <c r="I57" s="87">
        <f t="shared" si="16"/>
        <v>15823.833333333334</v>
      </c>
      <c r="J57" s="70"/>
      <c r="N57" s="70"/>
      <c r="O57" s="47"/>
      <c r="P57" s="47"/>
    </row>
    <row r="58" spans="2:16" x14ac:dyDescent="0.2">
      <c r="B58" s="75">
        <f t="shared" si="15"/>
        <v>2020</v>
      </c>
      <c r="C58" s="87">
        <v>11381.916666666666</v>
      </c>
      <c r="D58" s="87">
        <v>1163.8333333333333</v>
      </c>
      <c r="E58" s="87">
        <v>122.08333333333333</v>
      </c>
      <c r="F58" s="87">
        <v>2944.1666666666665</v>
      </c>
      <c r="G58" s="87">
        <v>157.66666666666666</v>
      </c>
      <c r="H58" s="87">
        <v>97</v>
      </c>
      <c r="I58" s="87">
        <f t="shared" si="16"/>
        <v>15866.666666666666</v>
      </c>
      <c r="J58" s="70"/>
      <c r="N58" s="70"/>
      <c r="O58" s="47"/>
      <c r="P58" s="47"/>
    </row>
    <row r="59" spans="2:16" x14ac:dyDescent="0.2">
      <c r="B59" s="75">
        <f>+B60-1</f>
        <v>2021</v>
      </c>
      <c r="C59" s="87">
        <v>11468.75</v>
      </c>
      <c r="D59" s="87">
        <v>1166.5833333333333</v>
      </c>
      <c r="E59" s="87">
        <v>126</v>
      </c>
      <c r="F59" s="87">
        <v>2965.9166666666665</v>
      </c>
      <c r="G59" s="87">
        <v>158</v>
      </c>
      <c r="H59" s="87">
        <v>98</v>
      </c>
      <c r="I59" s="87">
        <f t="shared" si="16"/>
        <v>15983.25</v>
      </c>
      <c r="J59" s="70"/>
      <c r="N59" s="70"/>
      <c r="O59" s="47"/>
      <c r="P59" s="47"/>
    </row>
    <row r="60" spans="2:16" x14ac:dyDescent="0.2">
      <c r="B60" s="75">
        <v>2022</v>
      </c>
      <c r="C60" s="87">
        <v>11526.25</v>
      </c>
      <c r="D60" s="87">
        <v>1166.5</v>
      </c>
      <c r="E60" s="87">
        <v>125.75</v>
      </c>
      <c r="F60" s="87">
        <v>2985</v>
      </c>
      <c r="G60" s="87">
        <v>157.25</v>
      </c>
      <c r="H60" s="87">
        <v>98</v>
      </c>
      <c r="I60" s="87">
        <f t="shared" si="16"/>
        <v>16058.75</v>
      </c>
      <c r="J60" s="70"/>
      <c r="N60" s="70"/>
      <c r="O60" s="47"/>
      <c r="P60" s="47"/>
    </row>
    <row r="61" spans="2:16" ht="12.75" customHeight="1" x14ac:dyDescent="0.2">
      <c r="B61" s="88" t="str">
        <f>+B39</f>
        <v>2023 Bridge</v>
      </c>
      <c r="C61" s="88">
        <v>11612.666666666666</v>
      </c>
      <c r="D61" s="88">
        <v>1164.25</v>
      </c>
      <c r="E61" s="88">
        <v>126</v>
      </c>
      <c r="F61" s="88">
        <v>2963</v>
      </c>
      <c r="G61" s="88">
        <v>157</v>
      </c>
      <c r="H61" s="88">
        <v>97</v>
      </c>
      <c r="I61" s="88">
        <f t="shared" si="16"/>
        <v>16119.916666666666</v>
      </c>
      <c r="J61" s="70"/>
      <c r="N61" s="70"/>
      <c r="O61" s="47"/>
      <c r="P61" s="47"/>
    </row>
    <row r="62" spans="2:16" ht="12.75" customHeight="1" x14ac:dyDescent="0.2">
      <c r="B62" s="88" t="str">
        <f>+B40</f>
        <v>2024 Test</v>
      </c>
      <c r="C62" s="88">
        <v>11740.5</v>
      </c>
      <c r="D62" s="88">
        <v>1168.4834481663743</v>
      </c>
      <c r="E62" s="88">
        <v>126.13411514324987</v>
      </c>
      <c r="F62" s="88">
        <v>2974.135068550856</v>
      </c>
      <c r="G62" s="88">
        <v>157.10035188815147</v>
      </c>
      <c r="H62" s="88">
        <v>96.349640189523058</v>
      </c>
      <c r="I62" s="88">
        <f t="shared" si="16"/>
        <v>16262.702623938154</v>
      </c>
      <c r="J62" s="70"/>
      <c r="N62" s="70"/>
      <c r="O62" s="47"/>
      <c r="P62" s="47"/>
    </row>
    <row r="63" spans="2:16" x14ac:dyDescent="0.2">
      <c r="J63" s="70"/>
    </row>
    <row r="64" spans="2:16" ht="23.25" x14ac:dyDescent="0.35">
      <c r="B64" s="72" t="s">
        <v>79</v>
      </c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81"/>
      <c r="N64" s="47"/>
      <c r="O64" s="47"/>
      <c r="P64" s="47"/>
    </row>
    <row r="65" spans="2:16" ht="15" x14ac:dyDescent="0.2">
      <c r="B65" s="80" t="s">
        <v>80</v>
      </c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47"/>
      <c r="P65" s="47"/>
    </row>
    <row r="66" spans="2:16" ht="14.25" x14ac:dyDescent="0.2">
      <c r="B66" s="79" t="s">
        <v>81</v>
      </c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47"/>
      <c r="P66" s="47"/>
    </row>
    <row r="67" spans="2:16" ht="14.25" x14ac:dyDescent="0.2">
      <c r="B67" s="78" t="s">
        <v>82</v>
      </c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47"/>
      <c r="P67" s="47"/>
    </row>
    <row r="68" spans="2:16" x14ac:dyDescent="0.2">
      <c r="B68" s="70"/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47"/>
      <c r="P68" s="47"/>
    </row>
    <row r="69" spans="2:16" ht="24" customHeight="1" x14ac:dyDescent="0.2">
      <c r="B69" s="76" t="s">
        <v>98</v>
      </c>
      <c r="C69" s="76" t="s">
        <v>83</v>
      </c>
      <c r="D69" s="76" t="s">
        <v>84</v>
      </c>
      <c r="E69" s="76" t="s">
        <v>85</v>
      </c>
      <c r="F69" s="76" t="s">
        <v>86</v>
      </c>
      <c r="G69" s="76" t="s">
        <v>60</v>
      </c>
      <c r="H69" s="76" t="s">
        <v>87</v>
      </c>
      <c r="I69" s="76" t="s">
        <v>88</v>
      </c>
      <c r="J69" s="76" t="s">
        <v>89</v>
      </c>
      <c r="K69" s="76" t="s">
        <v>90</v>
      </c>
      <c r="L69" s="76" t="s">
        <v>91</v>
      </c>
      <c r="M69" s="76" t="s">
        <v>92</v>
      </c>
      <c r="N69" s="76" t="s">
        <v>93</v>
      </c>
      <c r="O69" s="47"/>
      <c r="P69" s="47"/>
    </row>
    <row r="70" spans="2:16" x14ac:dyDescent="0.2">
      <c r="B70" s="75">
        <f t="shared" ref="B70:B77" si="17">+B71-1</f>
        <v>2013</v>
      </c>
      <c r="C70" s="87">
        <f>SUMIF(Inputs!$A:$A,Summaries!$B70&amp;C$42,Inputs!$D:$D)</f>
        <v>23103232.740000002</v>
      </c>
      <c r="D70" s="87">
        <f>SUMIF(Inputs!$A:$A,Summaries!$B70&amp;D$42,Inputs!$D:$D)</f>
        <v>21143805.780000001</v>
      </c>
      <c r="E70" s="87">
        <f>SUMIF(Inputs!$A:$A,Summaries!$B70&amp;E$42,Inputs!$D:$D)</f>
        <v>22021932.285</v>
      </c>
      <c r="F70" s="87">
        <f>SUMIF(Inputs!$A:$A,Summaries!$B70&amp;F$42,Inputs!$D:$D)</f>
        <v>20056096.465</v>
      </c>
      <c r="G70" s="87">
        <f>SUMIF(Inputs!$A:$A,Summaries!$B70&amp;G$42,Inputs!$D:$D)</f>
        <v>19849846.864999998</v>
      </c>
      <c r="H70" s="87">
        <f>SUMIF(Inputs!$A:$A,Summaries!$B70&amp;H$42,Inputs!$D:$D)</f>
        <v>20147779.544999998</v>
      </c>
      <c r="I70" s="87">
        <f>SUMIF(Inputs!$A:$A,Summaries!$B70&amp;I$42,Inputs!$D:$D)</f>
        <v>22076027.195</v>
      </c>
      <c r="J70" s="87">
        <f>SUMIF(Inputs!$A:$A,Summaries!$B70&amp;J$42,Inputs!$D:$D)</f>
        <v>21280806.869999997</v>
      </c>
      <c r="K70" s="87">
        <f>SUMIF(Inputs!$A:$A,Summaries!$B70&amp;K$42,Inputs!$D:$D)</f>
        <v>19603273.836052112</v>
      </c>
      <c r="L70" s="87">
        <f>SUMIF(Inputs!$A:$A,Summaries!$B70&amp;L$42,Inputs!$D:$D)</f>
        <v>20353929.379999995</v>
      </c>
      <c r="M70" s="87">
        <f>SUMIF(Inputs!$A:$A,Summaries!$B70&amp;M$42,Inputs!$D:$D)</f>
        <v>21325343.805</v>
      </c>
      <c r="N70" s="87">
        <f>SUMIF(Inputs!$A:$A,Summaries!$B70&amp;N$42,Inputs!$D:$D)</f>
        <v>22832457.52</v>
      </c>
      <c r="O70" s="47"/>
      <c r="P70" s="47"/>
    </row>
    <row r="71" spans="2:16" x14ac:dyDescent="0.2">
      <c r="B71" s="75">
        <f t="shared" si="17"/>
        <v>2014</v>
      </c>
      <c r="C71" s="87">
        <f>SUMIF(Inputs!$A:$A,Summaries!$B71&amp;C$42,Inputs!$D:$D)</f>
        <v>24790039.349999998</v>
      </c>
      <c r="D71" s="87">
        <f>SUMIF(Inputs!$A:$A,Summaries!$B71&amp;D$42,Inputs!$D:$D)</f>
        <v>21747839.690000001</v>
      </c>
      <c r="E71" s="87">
        <f>SUMIF(Inputs!$A:$A,Summaries!$B71&amp;E$42,Inputs!$D:$D)</f>
        <v>23077253.934999999</v>
      </c>
      <c r="F71" s="87">
        <f>SUMIF(Inputs!$A:$A,Summaries!$B71&amp;F$42,Inputs!$D:$D)</f>
        <v>20129764.705000002</v>
      </c>
      <c r="G71" s="87">
        <f>SUMIF(Inputs!$A:$A,Summaries!$B71&amp;G$42,Inputs!$D:$D)</f>
        <v>19632003.695</v>
      </c>
      <c r="H71" s="87">
        <f>SUMIF(Inputs!$A:$A,Summaries!$B71&amp;H$42,Inputs!$D:$D)</f>
        <v>20417295.370000001</v>
      </c>
      <c r="I71" s="87">
        <f>SUMIF(Inputs!$A:$A,Summaries!$B71&amp;I$42,Inputs!$D:$D)</f>
        <v>20942891.695</v>
      </c>
      <c r="J71" s="87">
        <f>SUMIF(Inputs!$A:$A,Summaries!$B71&amp;J$42,Inputs!$D:$D)</f>
        <v>20954818.989999998</v>
      </c>
      <c r="K71" s="87">
        <f>SUMIF(Inputs!$A:$A,Summaries!$B71&amp;K$42,Inputs!$D:$D)</f>
        <v>20036155.765000001</v>
      </c>
      <c r="L71" s="87">
        <f>SUMIF(Inputs!$A:$A,Summaries!$B71&amp;L$42,Inputs!$D:$D)</f>
        <v>20750967.593591224</v>
      </c>
      <c r="M71" s="87">
        <f>SUMIF(Inputs!$A:$A,Summaries!$B71&amp;M$42,Inputs!$D:$D)</f>
        <v>21634719.905000001</v>
      </c>
      <c r="N71" s="87">
        <f>SUMIF(Inputs!$A:$A,Summaries!$B71&amp;N$42,Inputs!$D:$D)</f>
        <v>22349924.59</v>
      </c>
      <c r="O71" s="47"/>
      <c r="P71" s="47"/>
    </row>
    <row r="72" spans="2:16" x14ac:dyDescent="0.2">
      <c r="B72" s="75">
        <f t="shared" si="17"/>
        <v>2015</v>
      </c>
      <c r="C72" s="87">
        <f>SUMIF(Inputs!$A:$A,Summaries!$B72&amp;C$42,Inputs!$D:$D)</f>
        <v>24334160.370000001</v>
      </c>
      <c r="D72" s="87">
        <f>SUMIF(Inputs!$A:$A,Summaries!$B72&amp;D$42,Inputs!$D:$D)</f>
        <v>22733400.235000003</v>
      </c>
      <c r="E72" s="87">
        <f>SUMIF(Inputs!$A:$A,Summaries!$B72&amp;E$42,Inputs!$D:$D)</f>
        <v>22719770.995000001</v>
      </c>
      <c r="F72" s="87">
        <f>SUMIF(Inputs!$A:$A,Summaries!$B72&amp;F$42,Inputs!$D:$D)</f>
        <v>19884327.555</v>
      </c>
      <c r="G72" s="87">
        <f>SUMIF(Inputs!$A:$A,Summaries!$B72&amp;G$42,Inputs!$D:$D)</f>
        <v>20081857.650000002</v>
      </c>
      <c r="H72" s="87">
        <f>SUMIF(Inputs!$A:$A,Summaries!$B72&amp;H$42,Inputs!$D:$D)</f>
        <v>19967931.074999999</v>
      </c>
      <c r="I72" s="87">
        <f>SUMIF(Inputs!$A:$A,Summaries!$B72&amp;I$42,Inputs!$D:$D)</f>
        <v>22033398.199999999</v>
      </c>
      <c r="J72" s="87">
        <f>SUMIF(Inputs!$A:$A,Summaries!$B72&amp;J$42,Inputs!$D:$D)</f>
        <v>21201546.775000002</v>
      </c>
      <c r="K72" s="87">
        <f>SUMIF(Inputs!$A:$A,Summaries!$B72&amp;K$42,Inputs!$D:$D)</f>
        <v>21227652.564999998</v>
      </c>
      <c r="L72" s="87">
        <f>SUMIF(Inputs!$A:$A,Summaries!$B72&amp;L$42,Inputs!$D:$D)</f>
        <v>20191537.286509268</v>
      </c>
      <c r="M72" s="87">
        <f>SUMIF(Inputs!$A:$A,Summaries!$B72&amp;M$42,Inputs!$D:$D)</f>
        <v>20615659.954999998</v>
      </c>
      <c r="N72" s="87">
        <f>SUMIF(Inputs!$A:$A,Summaries!$B72&amp;N$42,Inputs!$D:$D)</f>
        <v>21383445.974999998</v>
      </c>
      <c r="O72" s="47"/>
      <c r="P72" s="47"/>
    </row>
    <row r="73" spans="2:16" x14ac:dyDescent="0.2">
      <c r="B73" s="75">
        <f t="shared" si="17"/>
        <v>2016</v>
      </c>
      <c r="C73" s="87">
        <f>SUMIF(Inputs!$A:$A,Summaries!$B73&amp;C$42,Inputs!$D:$D)</f>
        <v>23561827.41</v>
      </c>
      <c r="D73" s="87">
        <f>SUMIF(Inputs!$A:$A,Summaries!$B73&amp;D$42,Inputs!$D:$D)</f>
        <v>21655030.84</v>
      </c>
      <c r="E73" s="87">
        <f>SUMIF(Inputs!$A:$A,Summaries!$B73&amp;E$42,Inputs!$D:$D)</f>
        <v>21636172.899999999</v>
      </c>
      <c r="F73" s="87">
        <f>SUMIF(Inputs!$A:$A,Summaries!$B73&amp;F$42,Inputs!$D:$D)</f>
        <v>20336536.75</v>
      </c>
      <c r="G73" s="87">
        <f>SUMIF(Inputs!$A:$A,Summaries!$B73&amp;G$42,Inputs!$D:$D)</f>
        <v>20078198.850000001</v>
      </c>
      <c r="H73" s="87">
        <f>SUMIF(Inputs!$A:$A,Summaries!$B73&amp;H$42,Inputs!$D:$D)</f>
        <v>20739146.41</v>
      </c>
      <c r="I73" s="87">
        <f>SUMIF(Inputs!$A:$A,Summaries!$B73&amp;I$42,Inputs!$D:$D)</f>
        <v>23027670.599999998</v>
      </c>
      <c r="J73" s="87">
        <f>SUMIF(Inputs!$A:$A,Summaries!$B73&amp;J$42,Inputs!$D:$D)</f>
        <v>24179844.139999997</v>
      </c>
      <c r="K73" s="87">
        <f>SUMIF(Inputs!$A:$A,Summaries!$B73&amp;K$42,Inputs!$D:$D)</f>
        <v>20570015.609999999</v>
      </c>
      <c r="L73" s="87">
        <f>SUMIF(Inputs!$A:$A,Summaries!$B73&amp;L$42,Inputs!$D:$D)</f>
        <v>20577574.779999997</v>
      </c>
      <c r="M73" s="87">
        <f>SUMIF(Inputs!$A:$A,Summaries!$B73&amp;M$42,Inputs!$D:$D)</f>
        <v>20734381.805</v>
      </c>
      <c r="N73" s="87">
        <f>SUMIF(Inputs!$A:$A,Summaries!$B73&amp;N$42,Inputs!$D:$D)</f>
        <v>22113618.544999998</v>
      </c>
      <c r="O73" s="47"/>
      <c r="P73" s="47"/>
    </row>
    <row r="74" spans="2:16" x14ac:dyDescent="0.2">
      <c r="B74" s="75">
        <f t="shared" si="17"/>
        <v>2017</v>
      </c>
      <c r="C74" s="87">
        <f>SUMIF(Inputs!$A:$A,Summaries!$B74&amp;C$42,Inputs!$D:$D)</f>
        <v>23287844.449999999</v>
      </c>
      <c r="D74" s="87">
        <f>SUMIF(Inputs!$A:$A,Summaries!$B74&amp;D$42,Inputs!$D:$D)</f>
        <v>20360287.07</v>
      </c>
      <c r="E74" s="87">
        <f>SUMIF(Inputs!$A:$A,Summaries!$B74&amp;E$42,Inputs!$D:$D)</f>
        <v>22567613.300000001</v>
      </c>
      <c r="F74" s="87">
        <f>SUMIF(Inputs!$A:$A,Summaries!$B74&amp;F$42,Inputs!$D:$D)</f>
        <v>19386237.350000001</v>
      </c>
      <c r="G74" s="87">
        <f>SUMIF(Inputs!$A:$A,Summaries!$B74&amp;G$42,Inputs!$D:$D)</f>
        <v>19855233.969999999</v>
      </c>
      <c r="H74" s="87">
        <f>SUMIF(Inputs!$A:$A,Summaries!$B74&amp;H$42,Inputs!$D:$D)</f>
        <v>20499489.770000003</v>
      </c>
      <c r="I74" s="87">
        <f>SUMIF(Inputs!$A:$A,Summaries!$B74&amp;I$42,Inputs!$D:$D)</f>
        <v>21882661.009999998</v>
      </c>
      <c r="J74" s="87">
        <f>SUMIF(Inputs!$A:$A,Summaries!$B74&amp;J$42,Inputs!$D:$D)</f>
        <v>21310062.84</v>
      </c>
      <c r="K74" s="87">
        <f>SUMIF(Inputs!$A:$A,Summaries!$B74&amp;K$42,Inputs!$D:$D)</f>
        <v>20719473.609999999</v>
      </c>
      <c r="L74" s="87">
        <f>SUMIF(Inputs!$A:$A,Summaries!$B74&amp;L$42,Inputs!$D:$D)</f>
        <v>20243543.530000001</v>
      </c>
      <c r="M74" s="87">
        <f>SUMIF(Inputs!$A:$A,Summaries!$B74&amp;M$42,Inputs!$D:$D)</f>
        <v>21468651.379999999</v>
      </c>
      <c r="N74" s="87">
        <f>SUMIF(Inputs!$A:$A,Summaries!$B74&amp;N$42,Inputs!$D:$D)</f>
        <v>22467268.620000001</v>
      </c>
      <c r="O74" s="47"/>
      <c r="P74" s="47"/>
    </row>
    <row r="75" spans="2:16" x14ac:dyDescent="0.2">
      <c r="B75" s="75">
        <f t="shared" si="17"/>
        <v>2018</v>
      </c>
      <c r="C75" s="87">
        <f>SUMIF(Inputs!$A:$A,Summaries!$B75&amp;C$42,Inputs!$D:$D)</f>
        <v>24028241.710000001</v>
      </c>
      <c r="D75" s="87">
        <f>SUMIF(Inputs!$A:$A,Summaries!$B75&amp;D$42,Inputs!$D:$D)</f>
        <v>20985005.432913534</v>
      </c>
      <c r="E75" s="87">
        <f>SUMIF(Inputs!$A:$A,Summaries!$B75&amp;E$42,Inputs!$D:$D)</f>
        <v>22598880.590000004</v>
      </c>
      <c r="F75" s="87">
        <f>SUMIF(Inputs!$A:$A,Summaries!$B75&amp;F$42,Inputs!$D:$D)</f>
        <v>21216588.68</v>
      </c>
      <c r="G75" s="87">
        <f>SUMIF(Inputs!$A:$A,Summaries!$B75&amp;G$42,Inputs!$D:$D)</f>
        <v>21095556.57</v>
      </c>
      <c r="H75" s="87">
        <f>SUMIF(Inputs!$A:$A,Summaries!$B75&amp;H$42,Inputs!$D:$D)</f>
        <v>21446304.349999998</v>
      </c>
      <c r="I75" s="87">
        <f>SUMIF(Inputs!$A:$A,Summaries!$B75&amp;I$42,Inputs!$D:$D)</f>
        <v>23894162.989999998</v>
      </c>
      <c r="J75" s="87">
        <f>SUMIF(Inputs!$A:$A,Summaries!$B75&amp;J$42,Inputs!$D:$D)</f>
        <v>23956344.050000001</v>
      </c>
      <c r="K75" s="87">
        <f>SUMIF(Inputs!$A:$A,Summaries!$B75&amp;K$42,Inputs!$D:$D)</f>
        <v>21668452.539136905</v>
      </c>
      <c r="L75" s="87">
        <f>SUMIF(Inputs!$A:$A,Summaries!$B75&amp;L$42,Inputs!$D:$D)</f>
        <v>21228062.899999999</v>
      </c>
      <c r="M75" s="87">
        <f>SUMIF(Inputs!$A:$A,Summaries!$B75&amp;M$42,Inputs!$D:$D)</f>
        <v>22168373.890000001</v>
      </c>
      <c r="N75" s="87">
        <f>SUMIF(Inputs!$A:$A,Summaries!$B75&amp;N$42,Inputs!$D:$D)</f>
        <v>22187282.27</v>
      </c>
      <c r="O75" s="47"/>
      <c r="P75" s="47"/>
    </row>
    <row r="76" spans="2:16" x14ac:dyDescent="0.2">
      <c r="B76" s="75">
        <f t="shared" si="17"/>
        <v>2019</v>
      </c>
      <c r="C76" s="87">
        <f>SUMIF(Inputs!$A:$A,Summaries!$B76&amp;C$42,Inputs!$D:$D)</f>
        <v>24587574.760000002</v>
      </c>
      <c r="D76" s="87">
        <f>SUMIF(Inputs!$A:$A,Summaries!$B76&amp;D$42,Inputs!$D:$D)</f>
        <v>21580871.099999998</v>
      </c>
      <c r="E76" s="87">
        <f>SUMIF(Inputs!$A:$A,Summaries!$B76&amp;E$42,Inputs!$D:$D)</f>
        <v>23246608.300000001</v>
      </c>
      <c r="F76" s="87">
        <f>SUMIF(Inputs!$A:$A,Summaries!$B76&amp;F$42,Inputs!$D:$D)</f>
        <v>20642403.32</v>
      </c>
      <c r="G76" s="87">
        <f>SUMIF(Inputs!$A:$A,Summaries!$B76&amp;G$42,Inputs!$D:$D)</f>
        <v>20313028.579999998</v>
      </c>
      <c r="H76" s="87">
        <f>SUMIF(Inputs!$A:$A,Summaries!$B76&amp;H$42,Inputs!$D:$D)</f>
        <v>20039267.039999999</v>
      </c>
      <c r="I76" s="87">
        <f>SUMIF(Inputs!$A:$A,Summaries!$B76&amp;I$42,Inputs!$D:$D)</f>
        <v>24391822</v>
      </c>
      <c r="J76" s="87">
        <f>SUMIF(Inputs!$A:$A,Summaries!$B76&amp;J$42,Inputs!$D:$D)</f>
        <v>22245573.850000001</v>
      </c>
      <c r="K76" s="87">
        <f>SUMIF(Inputs!$A:$A,Summaries!$B76&amp;K$42,Inputs!$D:$D)</f>
        <v>20055564.270000003</v>
      </c>
      <c r="L76" s="87">
        <f>SUMIF(Inputs!$A:$A,Summaries!$B76&amp;L$42,Inputs!$D:$D)</f>
        <v>20697385.880000003</v>
      </c>
      <c r="M76" s="87">
        <f>SUMIF(Inputs!$A:$A,Summaries!$B76&amp;M$42,Inputs!$D:$D)</f>
        <v>22060075.600000001</v>
      </c>
      <c r="N76" s="87">
        <f>SUMIF(Inputs!$A:$A,Summaries!$B76&amp;N$42,Inputs!$D:$D)</f>
        <v>22125178.859999999</v>
      </c>
      <c r="O76" s="47"/>
      <c r="P76" s="47"/>
    </row>
    <row r="77" spans="2:16" x14ac:dyDescent="0.2">
      <c r="B77" s="75">
        <f t="shared" si="17"/>
        <v>2020</v>
      </c>
      <c r="C77" s="87">
        <f>SUMIF(Inputs!$A:$A,Summaries!$B77&amp;C$42,Inputs!$D:$D)</f>
        <v>23214919.18</v>
      </c>
      <c r="D77" s="87">
        <f>SUMIF(Inputs!$A:$A,Summaries!$B77&amp;D$42,Inputs!$D:$D)</f>
        <v>21739398</v>
      </c>
      <c r="E77" s="87">
        <f>SUMIF(Inputs!$A:$A,Summaries!$B77&amp;E$42,Inputs!$D:$D)</f>
        <v>21884530.75</v>
      </c>
      <c r="F77" s="133">
        <f>SUMIF(Inputs!$A:$A,Summaries!$B77&amp;F$42,Inputs!$D:$D)</f>
        <v>18977422.57</v>
      </c>
      <c r="G77" s="87">
        <f>SUMIF(Inputs!$A:$A,Summaries!$B77&amp;G$42,Inputs!$D:$D)</f>
        <v>19969257.329999998</v>
      </c>
      <c r="H77" s="87">
        <f>SUMIF(Inputs!$A:$A,Summaries!$B77&amp;H$42,Inputs!$D:$D)</f>
        <v>21668186.52</v>
      </c>
      <c r="I77" s="87">
        <f>SUMIF(Inputs!$A:$A,Summaries!$B77&amp;I$42,Inputs!$D:$D)</f>
        <v>25628770.52</v>
      </c>
      <c r="J77" s="87">
        <f>SUMIF(Inputs!$A:$A,Summaries!$B77&amp;J$42,Inputs!$D:$D)</f>
        <v>23467038.809999999</v>
      </c>
      <c r="K77" s="87">
        <f>SUMIF(Inputs!$A:$A,Summaries!$B77&amp;K$42,Inputs!$D:$D)</f>
        <v>20269648.150000002</v>
      </c>
      <c r="L77" s="87">
        <f>SUMIF(Inputs!$A:$A,Summaries!$B77&amp;L$42,Inputs!$D:$D)</f>
        <v>21294106.91</v>
      </c>
      <c r="M77" s="87">
        <f>SUMIF(Inputs!$A:$A,Summaries!$B77&amp;M$42,Inputs!$D:$D)</f>
        <v>21744994.359999999</v>
      </c>
      <c r="N77" s="87">
        <f>SUMIF(Inputs!$A:$A,Summaries!$B77&amp;N$42,Inputs!$D:$D)</f>
        <v>23632657.099999998</v>
      </c>
      <c r="O77" s="47"/>
      <c r="P77" s="47"/>
    </row>
    <row r="78" spans="2:16" x14ac:dyDescent="0.2">
      <c r="B78" s="75">
        <f>+B79-1</f>
        <v>2021</v>
      </c>
      <c r="C78" s="87">
        <f>SUMIF(Inputs!$A:$A,Summaries!$B78&amp;C$42,Inputs!$D:$D)</f>
        <v>23541928.949999999</v>
      </c>
      <c r="D78" s="87">
        <f>SUMIF(Inputs!$A:$A,Summaries!$B78&amp;D$42,Inputs!$D:$D)</f>
        <v>22305481.220000003</v>
      </c>
      <c r="E78" s="87">
        <f>SUMIF(Inputs!$A:$A,Summaries!$B78&amp;E$42,Inputs!$D:$D)</f>
        <v>23069807.16</v>
      </c>
      <c r="F78" s="87">
        <f>SUMIF(Inputs!$A:$A,Summaries!$B78&amp;F$42,Inputs!$D:$D)</f>
        <v>20252923.879999999</v>
      </c>
      <c r="G78" s="87">
        <f>SUMIF(Inputs!$A:$A,Summaries!$B78&amp;G$42,Inputs!$D:$D)</f>
        <v>20759754.799999997</v>
      </c>
      <c r="H78" s="87">
        <f>SUMIF(Inputs!$A:$A,Summaries!$B78&amp;H$42,Inputs!$D:$D)</f>
        <v>22743690.300000001</v>
      </c>
      <c r="I78" s="87">
        <f>SUMIF(Inputs!$A:$A,Summaries!$B78&amp;I$42,Inputs!$D:$D)</f>
        <v>23381044.989999998</v>
      </c>
      <c r="J78" s="87">
        <f>SUMIF(Inputs!$A:$A,Summaries!$B78&amp;J$42,Inputs!$D:$D)</f>
        <v>25116099.290000003</v>
      </c>
      <c r="K78" s="87">
        <f>SUMIF(Inputs!$A:$A,Summaries!$B78&amp;K$42,Inputs!$D:$D)</f>
        <v>20640267.599999998</v>
      </c>
      <c r="L78" s="87">
        <f>SUMIF(Inputs!$A:$A,Summaries!$B78&amp;L$42,Inputs!$D:$D)</f>
        <v>21195541.040000003</v>
      </c>
      <c r="M78" s="87">
        <f>SUMIF(Inputs!$A:$A,Summaries!$B78&amp;M$42,Inputs!$D:$D)</f>
        <v>22402599.130000003</v>
      </c>
      <c r="N78" s="87">
        <f>SUMIF(Inputs!$A:$A,Summaries!$B78&amp;N$42,Inputs!$D:$D)</f>
        <v>23318783.640000001</v>
      </c>
      <c r="O78" s="47"/>
      <c r="P78" s="47"/>
    </row>
    <row r="79" spans="2:16" x14ac:dyDescent="0.2">
      <c r="B79" s="75">
        <v>2022</v>
      </c>
      <c r="C79" s="87">
        <f>SUMIF(Inputs!$A:$A,Summaries!$B79&amp;C$42,Inputs!$D:$D)</f>
        <v>25489220.849999998</v>
      </c>
      <c r="D79" s="87">
        <f>SUMIF(Inputs!$A:$A,Summaries!$B79&amp;D$42,Inputs!$D:$D)</f>
        <v>23005811.43</v>
      </c>
      <c r="E79" s="87">
        <f>SUMIF(Inputs!$A:$A,Summaries!$B79&amp;E$42,Inputs!$D:$D)</f>
        <v>24103482.41</v>
      </c>
      <c r="F79" s="87">
        <f>SUMIF(Inputs!$A:$A,Summaries!$B79&amp;F$42,Inputs!$D:$D)</f>
        <v>21054165.982828289</v>
      </c>
      <c r="G79" s="87">
        <f>SUMIF(Inputs!$A:$A,Summaries!$B79&amp;G$42,Inputs!$D:$D)</f>
        <v>21880073.671260841</v>
      </c>
      <c r="H79" s="87">
        <f>SUMIF(Inputs!$A:$A,Summaries!$B79&amp;H$42,Inputs!$D:$D)</f>
        <v>22588251.5</v>
      </c>
      <c r="I79" s="87">
        <f>SUMIF(Inputs!$A:$A,Summaries!$B79&amp;I$42,Inputs!$D:$D)</f>
        <v>24257008.129999999</v>
      </c>
      <c r="J79" s="87">
        <f>SUMIF(Inputs!$A:$A,Summaries!$B79&amp;J$42,Inputs!$D:$D)</f>
        <v>24568812.140000001</v>
      </c>
      <c r="K79" s="87">
        <f>SUMIF(Inputs!$A:$A,Summaries!$B79&amp;K$42,Inputs!$D:$D)</f>
        <v>21763225.319999997</v>
      </c>
      <c r="L79" s="87">
        <f>SUMIF(Inputs!$A:$A,Summaries!$B79&amp;L$42,Inputs!$D:$D)</f>
        <v>21332534.440000001</v>
      </c>
      <c r="M79" s="87">
        <f>SUMIF(Inputs!$A:$A,Summaries!$B79&amp;M$42,Inputs!$D:$D)</f>
        <v>22267327.43</v>
      </c>
      <c r="N79" s="87">
        <f>SUMIF(Inputs!$A:$A,Summaries!$B79&amp;N$42,Inputs!$D:$D)</f>
        <v>23648226.640000001</v>
      </c>
      <c r="O79" s="47"/>
      <c r="P79" s="47"/>
    </row>
    <row r="80" spans="2:16" x14ac:dyDescent="0.2">
      <c r="B80" s="84" t="s">
        <v>99</v>
      </c>
      <c r="C80" s="88">
        <f>AVERAGE(C70:C79)</f>
        <v>23993898.976999998</v>
      </c>
      <c r="D80" s="88">
        <f t="shared" ref="D80:N80" si="18">AVERAGE(D70:D79)</f>
        <v>21725693.079791356</v>
      </c>
      <c r="E80" s="88">
        <f t="shared" si="18"/>
        <v>22692605.262499999</v>
      </c>
      <c r="F80" s="88">
        <f t="shared" si="18"/>
        <v>20193646.725782827</v>
      </c>
      <c r="G80" s="88">
        <f t="shared" si="18"/>
        <v>20351481.198126085</v>
      </c>
      <c r="H80" s="88">
        <f t="shared" si="18"/>
        <v>21025734.188000001</v>
      </c>
      <c r="I80" s="88">
        <f t="shared" si="18"/>
        <v>23151545.733000003</v>
      </c>
      <c r="J80" s="88">
        <f t="shared" si="18"/>
        <v>22828094.7755</v>
      </c>
      <c r="K80" s="88">
        <f t="shared" si="18"/>
        <v>20655372.926518902</v>
      </c>
      <c r="L80" s="88">
        <f t="shared" si="18"/>
        <v>20786518.374010049</v>
      </c>
      <c r="M80" s="88">
        <f t="shared" si="18"/>
        <v>21642212.726</v>
      </c>
      <c r="N80" s="88">
        <f t="shared" si="18"/>
        <v>22605884.375999998</v>
      </c>
      <c r="O80" s="47"/>
      <c r="P80" s="47"/>
    </row>
    <row r="81" spans="2:16" x14ac:dyDescent="0.2">
      <c r="B81" s="84" t="s">
        <v>155</v>
      </c>
      <c r="C81" s="88" cm="1">
        <f t="array" ref="C81:N81">TRANSPOSE('Purchased Power Model'!L123:L134)</f>
        <v>24040171.561848771</v>
      </c>
      <c r="D81" s="88">
        <v>22196041.78726976</v>
      </c>
      <c r="E81" s="88">
        <v>23934583.687984549</v>
      </c>
      <c r="F81" s="88">
        <v>21159331.547722459</v>
      </c>
      <c r="G81" s="88">
        <v>21612116.061575629</v>
      </c>
      <c r="H81" s="88">
        <v>21659222.656536661</v>
      </c>
      <c r="I81" s="88">
        <v>23689239.82510145</v>
      </c>
      <c r="J81" s="88">
        <v>22871345.482711297</v>
      </c>
      <c r="K81" s="88">
        <v>21287204.162581638</v>
      </c>
      <c r="L81" s="88">
        <v>21621572.638382416</v>
      </c>
      <c r="M81" s="88">
        <v>22469448.456114229</v>
      </c>
      <c r="N81" s="88">
        <v>23466077.064725854</v>
      </c>
      <c r="O81" s="47"/>
      <c r="P81" s="47"/>
    </row>
    <row r="82" spans="2:16" x14ac:dyDescent="0.2">
      <c r="B82" s="84" t="s">
        <v>156</v>
      </c>
      <c r="C82" s="88" cm="1">
        <f t="array" ref="C82:N82">TRANSPOSE('Purchased Power Model'!L135:L146)</f>
        <v>25088140.909115434</v>
      </c>
      <c r="D82" s="88">
        <v>23481809.861179031</v>
      </c>
      <c r="E82" s="88">
        <v>23682694.22509107</v>
      </c>
      <c r="F82" s="88">
        <v>22082966.919153493</v>
      </c>
      <c r="G82" s="88">
        <v>21954468.387142725</v>
      </c>
      <c r="H82" s="88">
        <v>21776230.863720629</v>
      </c>
      <c r="I82" s="88">
        <v>24537867.688750044</v>
      </c>
      <c r="J82" s="88">
        <v>24116292.262202203</v>
      </c>
      <c r="K82" s="88">
        <v>21670207.665094621</v>
      </c>
      <c r="L82" s="88">
        <v>21980488.061486498</v>
      </c>
      <c r="M82" s="88">
        <v>22473759.905489575</v>
      </c>
      <c r="N82" s="88">
        <v>23824992.487829931</v>
      </c>
      <c r="O82" s="47"/>
      <c r="P82" s="47"/>
    </row>
    <row r="83" spans="2:16" x14ac:dyDescent="0.2">
      <c r="B83" s="74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47"/>
      <c r="P83" s="47"/>
    </row>
    <row r="84" spans="2:16" ht="24" customHeight="1" x14ac:dyDescent="0.2">
      <c r="B84" s="76" t="s">
        <v>135</v>
      </c>
      <c r="C84" s="76" t="s">
        <v>83</v>
      </c>
      <c r="D84" s="76" t="s">
        <v>84</v>
      </c>
      <c r="E84" s="76" t="s">
        <v>85</v>
      </c>
      <c r="F84" s="76" t="s">
        <v>86</v>
      </c>
      <c r="G84" s="76" t="s">
        <v>60</v>
      </c>
      <c r="H84" s="76" t="s">
        <v>87</v>
      </c>
      <c r="I84" s="76" t="s">
        <v>88</v>
      </c>
      <c r="J84" s="76" t="s">
        <v>89</v>
      </c>
      <c r="K84" s="76" t="s">
        <v>90</v>
      </c>
      <c r="L84" s="76" t="s">
        <v>91</v>
      </c>
      <c r="M84" s="76" t="s">
        <v>92</v>
      </c>
      <c r="N84" s="76" t="s">
        <v>93</v>
      </c>
      <c r="O84" s="47"/>
      <c r="P84" s="47"/>
    </row>
    <row r="85" spans="2:16" x14ac:dyDescent="0.2">
      <c r="B85" s="75">
        <f t="shared" ref="B85:B92" si="19">+B86-1</f>
        <v>2013</v>
      </c>
      <c r="C85" s="71">
        <f>SUMIF(Inputs!$A:$A,Summaries!$B85&amp;C$42,Inputs!$E:$E)</f>
        <v>624.50000000000011</v>
      </c>
      <c r="D85" s="71">
        <f>SUMIF(Inputs!$A:$A,Summaries!$B85&amp;D$42,Inputs!$E:$E)</f>
        <v>631.49999999999989</v>
      </c>
      <c r="E85" s="71">
        <f>SUMIF(Inputs!$A:$A,Summaries!$B85&amp;E$42,Inputs!$E:$E)</f>
        <v>554.79999999999995</v>
      </c>
      <c r="F85" s="71">
        <f>SUMIF(Inputs!$A:$A,Summaries!$B85&amp;F$42,Inputs!$E:$E)</f>
        <v>358.6</v>
      </c>
      <c r="G85" s="71">
        <f>SUMIF(Inputs!$A:$A,Summaries!$B85&amp;G$42,Inputs!$E:$E)</f>
        <v>109.10000000000001</v>
      </c>
      <c r="H85" s="71">
        <f>SUMIF(Inputs!$A:$A,Summaries!$B85&amp;H$42,Inputs!$E:$E)</f>
        <v>32.999999999999993</v>
      </c>
      <c r="I85" s="71">
        <f>SUMIF(Inputs!$A:$A,Summaries!$B85&amp;I$42,Inputs!$E:$E)</f>
        <v>1.2999999999999998</v>
      </c>
      <c r="J85" s="71">
        <f>SUMIF(Inputs!$A:$A,Summaries!$B85&amp;J$42,Inputs!$E:$E)</f>
        <v>4.4000000000000004</v>
      </c>
      <c r="K85" s="71">
        <f>SUMIF(Inputs!$A:$A,Summaries!$B85&amp;K$42,Inputs!$E:$E)</f>
        <v>86.35</v>
      </c>
      <c r="L85" s="71">
        <f>SUMIF(Inputs!$A:$A,Summaries!$B85&amp;L$42,Inputs!$E:$E)</f>
        <v>221.8</v>
      </c>
      <c r="M85" s="71">
        <f>SUMIF(Inputs!$A:$A,Summaries!$B85&amp;M$42,Inputs!$E:$E)</f>
        <v>478.20000000000005</v>
      </c>
      <c r="N85" s="71">
        <f>SUMIF(Inputs!$A:$A,Summaries!$B85&amp;N$42,Inputs!$E:$E)</f>
        <v>687.9</v>
      </c>
      <c r="O85" s="115">
        <f>SUM(C85:N85)</f>
        <v>3791.4500000000003</v>
      </c>
      <c r="P85" s="115">
        <f>+O85+O100</f>
        <v>4128.7000000000007</v>
      </c>
    </row>
    <row r="86" spans="2:16" x14ac:dyDescent="0.2">
      <c r="B86" s="75">
        <f t="shared" si="19"/>
        <v>2014</v>
      </c>
      <c r="C86" s="71">
        <f>SUMIF(Inputs!$A:$A,Summaries!$B86&amp;C$42,Inputs!$E:$E)</f>
        <v>825.90000000000009</v>
      </c>
      <c r="D86" s="71">
        <f>SUMIF(Inputs!$A:$A,Summaries!$B86&amp;D$42,Inputs!$E:$E)</f>
        <v>737.09999999999991</v>
      </c>
      <c r="E86" s="71">
        <f>SUMIF(Inputs!$A:$A,Summaries!$B86&amp;E$42,Inputs!$E:$E)</f>
        <v>690.6</v>
      </c>
      <c r="F86" s="71">
        <f>SUMIF(Inputs!$A:$A,Summaries!$B86&amp;F$42,Inputs!$E:$E)</f>
        <v>356.90000000000003</v>
      </c>
      <c r="G86" s="71">
        <f>SUMIF(Inputs!$A:$A,Summaries!$B86&amp;G$42,Inputs!$E:$E)</f>
        <v>132.10000000000005</v>
      </c>
      <c r="H86" s="71">
        <f>SUMIF(Inputs!$A:$A,Summaries!$B86&amp;H$42,Inputs!$E:$E)</f>
        <v>14.1</v>
      </c>
      <c r="I86" s="71">
        <f>SUMIF(Inputs!$A:$A,Summaries!$B86&amp;I$42,Inputs!$E:$E)</f>
        <v>4</v>
      </c>
      <c r="J86" s="71">
        <f>SUMIF(Inputs!$A:$A,Summaries!$B86&amp;J$42,Inputs!$E:$E)</f>
        <v>8.7999999999999989</v>
      </c>
      <c r="K86" s="71">
        <f>SUMIF(Inputs!$A:$A,Summaries!$B86&amp;K$42,Inputs!$E:$E)</f>
        <v>69.700000000000017</v>
      </c>
      <c r="L86" s="71">
        <f>SUMIF(Inputs!$A:$A,Summaries!$B86&amp;L$42,Inputs!$E:$E)</f>
        <v>224.30000000000004</v>
      </c>
      <c r="M86" s="71">
        <f>SUMIF(Inputs!$A:$A,Summaries!$B86&amp;M$42,Inputs!$E:$E)</f>
        <v>482.1</v>
      </c>
      <c r="N86" s="71">
        <f>SUMIF(Inputs!$A:$A,Summaries!$B86&amp;N$42,Inputs!$E:$E)</f>
        <v>557.29999999999995</v>
      </c>
      <c r="O86" s="115">
        <f t="shared" ref="O86:O95" si="20">SUM(C86:N86)</f>
        <v>4102.8999999999996</v>
      </c>
      <c r="P86" s="115">
        <f t="shared" ref="P86:P95" si="21">+O86+O101</f>
        <v>4367.0999999999995</v>
      </c>
    </row>
    <row r="87" spans="2:16" x14ac:dyDescent="0.2">
      <c r="B87" s="75">
        <f t="shared" si="19"/>
        <v>2015</v>
      </c>
      <c r="C87" s="71">
        <f>SUMIF(Inputs!$A:$A,Summaries!$B87&amp;C$42,Inputs!$E:$E)</f>
        <v>792.39999999999975</v>
      </c>
      <c r="D87" s="71">
        <f>SUMIF(Inputs!$A:$A,Summaries!$B87&amp;D$42,Inputs!$E:$E)</f>
        <v>856.8</v>
      </c>
      <c r="E87" s="71">
        <f>SUMIF(Inputs!$A:$A,Summaries!$B87&amp;E$42,Inputs!$E:$E)</f>
        <v>615.49999999999989</v>
      </c>
      <c r="F87" s="71">
        <f>SUMIF(Inputs!$A:$A,Summaries!$B87&amp;F$42,Inputs!$E:$E)</f>
        <v>313.7</v>
      </c>
      <c r="G87" s="71">
        <f>SUMIF(Inputs!$A:$A,Summaries!$B87&amp;G$42,Inputs!$E:$E)</f>
        <v>89.3</v>
      </c>
      <c r="H87" s="71">
        <f>SUMIF(Inputs!$A:$A,Summaries!$B87&amp;H$42,Inputs!$E:$E)</f>
        <v>33.800000000000004</v>
      </c>
      <c r="I87" s="71">
        <f>SUMIF(Inputs!$A:$A,Summaries!$B87&amp;I$42,Inputs!$E:$E)</f>
        <v>4</v>
      </c>
      <c r="J87" s="71">
        <f>SUMIF(Inputs!$A:$A,Summaries!$B87&amp;J$42,Inputs!$E:$E)</f>
        <v>4.4000000000000004</v>
      </c>
      <c r="K87" s="71">
        <f>SUMIF(Inputs!$A:$A,Summaries!$B87&amp;K$42,Inputs!$E:$E)</f>
        <v>31.099999999999994</v>
      </c>
      <c r="L87" s="71">
        <f>SUMIF(Inputs!$A:$A,Summaries!$B87&amp;L$42,Inputs!$E:$E)</f>
        <v>249.8</v>
      </c>
      <c r="M87" s="71">
        <f>SUMIF(Inputs!$A:$A,Summaries!$B87&amp;M$42,Inputs!$E:$E)</f>
        <v>345</v>
      </c>
      <c r="N87" s="71">
        <f>SUMIF(Inputs!$A:$A,Summaries!$B87&amp;N$42,Inputs!$E:$E)</f>
        <v>429.70000000000005</v>
      </c>
      <c r="O87" s="115">
        <f t="shared" si="20"/>
        <v>3765.5</v>
      </c>
      <c r="P87" s="115">
        <f t="shared" si="21"/>
        <v>4116.7</v>
      </c>
    </row>
    <row r="88" spans="2:16" x14ac:dyDescent="0.2">
      <c r="B88" s="75">
        <f t="shared" si="19"/>
        <v>2016</v>
      </c>
      <c r="C88" s="71">
        <f>SUMIF(Inputs!$A:$A,Summaries!$B88&amp;C$42,Inputs!$E:$E)</f>
        <v>670.4</v>
      </c>
      <c r="D88" s="71">
        <f>SUMIF(Inputs!$A:$A,Summaries!$B88&amp;D$42,Inputs!$E:$E)</f>
        <v>588.4</v>
      </c>
      <c r="E88" s="71">
        <f>SUMIF(Inputs!$A:$A,Summaries!$B88&amp;E$42,Inputs!$E:$E)</f>
        <v>476.0999999999998</v>
      </c>
      <c r="F88" s="71">
        <f>SUMIF(Inputs!$A:$A,Summaries!$B88&amp;F$42,Inputs!$E:$E)</f>
        <v>394.8</v>
      </c>
      <c r="G88" s="71">
        <f>SUMIF(Inputs!$A:$A,Summaries!$B88&amp;G$42,Inputs!$E:$E)</f>
        <v>142.50000000000003</v>
      </c>
      <c r="H88" s="71">
        <f>SUMIF(Inputs!$A:$A,Summaries!$B88&amp;H$42,Inputs!$E:$E)</f>
        <v>24.200000000000003</v>
      </c>
      <c r="I88" s="71">
        <f>SUMIF(Inputs!$A:$A,Summaries!$B88&amp;I$42,Inputs!$E:$E)</f>
        <v>0</v>
      </c>
      <c r="J88" s="71">
        <f>SUMIF(Inputs!$A:$A,Summaries!$B88&amp;J$42,Inputs!$E:$E)</f>
        <v>0</v>
      </c>
      <c r="K88" s="71">
        <f>SUMIF(Inputs!$A:$A,Summaries!$B88&amp;K$42,Inputs!$E:$E)</f>
        <v>25.900000000000006</v>
      </c>
      <c r="L88" s="71">
        <f>SUMIF(Inputs!$A:$A,Summaries!$B88&amp;L$42,Inputs!$E:$E)</f>
        <v>194.20000000000002</v>
      </c>
      <c r="M88" s="71">
        <f>SUMIF(Inputs!$A:$A,Summaries!$B88&amp;M$42,Inputs!$E:$E)</f>
        <v>337.80000000000007</v>
      </c>
      <c r="N88" s="71">
        <f>SUMIF(Inputs!$A:$A,Summaries!$B88&amp;N$42,Inputs!$E:$E)</f>
        <v>607.99999999999989</v>
      </c>
      <c r="O88" s="115">
        <f t="shared" si="20"/>
        <v>3462.2999999999997</v>
      </c>
      <c r="P88" s="115">
        <f t="shared" si="21"/>
        <v>4028.7</v>
      </c>
    </row>
    <row r="89" spans="2:16" x14ac:dyDescent="0.2">
      <c r="B89" s="75">
        <f t="shared" si="19"/>
        <v>2017</v>
      </c>
      <c r="C89" s="71">
        <f>SUMIF(Inputs!$A:$A,Summaries!$B89&amp;C$42,Inputs!$E:$E)</f>
        <v>608.9</v>
      </c>
      <c r="D89" s="71">
        <f>SUMIF(Inputs!$A:$A,Summaries!$B89&amp;D$42,Inputs!$E:$E)</f>
        <v>510.4</v>
      </c>
      <c r="E89" s="71">
        <f>SUMIF(Inputs!$A:$A,Summaries!$B89&amp;E$42,Inputs!$E:$E)</f>
        <v>574</v>
      </c>
      <c r="F89" s="71">
        <f>SUMIF(Inputs!$A:$A,Summaries!$B89&amp;F$42,Inputs!$E:$E)</f>
        <v>257.49999999999994</v>
      </c>
      <c r="G89" s="71">
        <f>SUMIF(Inputs!$A:$A,Summaries!$B89&amp;G$42,Inputs!$E:$E)</f>
        <v>177</v>
      </c>
      <c r="H89" s="71">
        <f>SUMIF(Inputs!$A:$A,Summaries!$B89&amp;H$42,Inputs!$E:$E)</f>
        <v>26.699999999999996</v>
      </c>
      <c r="I89" s="71">
        <f>SUMIF(Inputs!$A:$A,Summaries!$B89&amp;I$42,Inputs!$E:$E)</f>
        <v>0</v>
      </c>
      <c r="J89" s="71">
        <f>SUMIF(Inputs!$A:$A,Summaries!$B89&amp;J$42,Inputs!$E:$E)</f>
        <v>11.6</v>
      </c>
      <c r="K89" s="71">
        <f>SUMIF(Inputs!$A:$A,Summaries!$B89&amp;K$42,Inputs!$E:$E)</f>
        <v>49.1</v>
      </c>
      <c r="L89" s="71">
        <f>SUMIF(Inputs!$A:$A,Summaries!$B89&amp;L$42,Inputs!$E:$E)</f>
        <v>153.99999999999997</v>
      </c>
      <c r="M89" s="71">
        <f>SUMIF(Inputs!$A:$A,Summaries!$B89&amp;M$42,Inputs!$E:$E)</f>
        <v>429.35</v>
      </c>
      <c r="N89" s="71">
        <f>SUMIF(Inputs!$A:$A,Summaries!$B89&amp;N$42,Inputs!$E:$E)</f>
        <v>718.49999999999989</v>
      </c>
      <c r="O89" s="115">
        <f t="shared" si="20"/>
        <v>3517.0499999999997</v>
      </c>
      <c r="P89" s="115">
        <f t="shared" si="21"/>
        <v>3865.5499999999997</v>
      </c>
    </row>
    <row r="90" spans="2:16" x14ac:dyDescent="0.2">
      <c r="B90" s="75">
        <f t="shared" si="19"/>
        <v>2018</v>
      </c>
      <c r="C90" s="71">
        <f>SUMIF(Inputs!$A:$A,Summaries!$B90&amp;C$42,Inputs!$E:$E)</f>
        <v>732.29999999999984</v>
      </c>
      <c r="D90" s="71">
        <f>SUMIF(Inputs!$A:$A,Summaries!$B90&amp;D$42,Inputs!$E:$E)</f>
        <v>555.00000000000023</v>
      </c>
      <c r="E90" s="71">
        <f>SUMIF(Inputs!$A:$A,Summaries!$B90&amp;E$42,Inputs!$E:$E)</f>
        <v>553.99999999999989</v>
      </c>
      <c r="F90" s="71">
        <f>SUMIF(Inputs!$A:$A,Summaries!$B90&amp;F$42,Inputs!$E:$E)</f>
        <v>437.20000000000005</v>
      </c>
      <c r="G90" s="71">
        <f>SUMIF(Inputs!$A:$A,Summaries!$B90&amp;G$42,Inputs!$E:$E)</f>
        <v>75.3</v>
      </c>
      <c r="H90" s="71">
        <f>SUMIF(Inputs!$A:$A,Summaries!$B90&amp;H$42,Inputs!$E:$E)</f>
        <v>14.799999999999999</v>
      </c>
      <c r="I90" s="71">
        <f>SUMIF(Inputs!$A:$A,Summaries!$B90&amp;I$42,Inputs!$E:$E)</f>
        <v>0</v>
      </c>
      <c r="J90" s="71">
        <f>SUMIF(Inputs!$A:$A,Summaries!$B90&amp;J$42,Inputs!$E:$E)</f>
        <v>1.2</v>
      </c>
      <c r="K90" s="71">
        <f>SUMIF(Inputs!$A:$A,Summaries!$B90&amp;K$42,Inputs!$E:$E)</f>
        <v>45.04999999999999</v>
      </c>
      <c r="L90" s="71">
        <f>SUMIF(Inputs!$A:$A,Summaries!$B90&amp;L$42,Inputs!$E:$E)</f>
        <v>289.40000000000003</v>
      </c>
      <c r="M90" s="71">
        <f>SUMIF(Inputs!$A:$A,Summaries!$B90&amp;M$42,Inputs!$E:$E)</f>
        <v>494.1</v>
      </c>
      <c r="N90" s="71">
        <f>SUMIF(Inputs!$A:$A,Summaries!$B90&amp;N$42,Inputs!$E:$E)</f>
        <v>563.60000000000014</v>
      </c>
      <c r="O90" s="115">
        <f t="shared" si="20"/>
        <v>3761.9500000000007</v>
      </c>
      <c r="P90" s="115">
        <f t="shared" si="21"/>
        <v>4280.6500000000005</v>
      </c>
    </row>
    <row r="91" spans="2:16" x14ac:dyDescent="0.2">
      <c r="B91" s="75">
        <f t="shared" si="19"/>
        <v>2019</v>
      </c>
      <c r="C91" s="71">
        <f>SUMIF(Inputs!$A:$A,Summaries!$B91&amp;C$42,Inputs!$E:$E)</f>
        <v>764.5</v>
      </c>
      <c r="D91" s="71">
        <f>SUMIF(Inputs!$A:$A,Summaries!$B91&amp;D$42,Inputs!$E:$E)</f>
        <v>621.70000000000016</v>
      </c>
      <c r="E91" s="71">
        <f>SUMIF(Inputs!$A:$A,Summaries!$B91&amp;E$42,Inputs!$E:$E)</f>
        <v>593.90000000000009</v>
      </c>
      <c r="F91" s="71">
        <f>SUMIF(Inputs!$A:$A,Summaries!$B91&amp;F$42,Inputs!$E:$E)</f>
        <v>346.8</v>
      </c>
      <c r="G91" s="71">
        <f>SUMIF(Inputs!$A:$A,Summaries!$B91&amp;G$42,Inputs!$E:$E)</f>
        <v>189.94999999999996</v>
      </c>
      <c r="H91" s="71">
        <f>SUMIF(Inputs!$A:$A,Summaries!$B91&amp;H$42,Inputs!$E:$E)</f>
        <v>35.5</v>
      </c>
      <c r="I91" s="71">
        <f>SUMIF(Inputs!$A:$A,Summaries!$B91&amp;I$42,Inputs!$E:$E)</f>
        <v>0</v>
      </c>
      <c r="J91" s="71">
        <f>SUMIF(Inputs!$A:$A,Summaries!$B91&amp;J$42,Inputs!$E:$E)</f>
        <v>0.89999999999999991</v>
      </c>
      <c r="K91" s="71">
        <f>SUMIF(Inputs!$A:$A,Summaries!$B91&amp;K$42,Inputs!$E:$E)</f>
        <v>38.400000000000006</v>
      </c>
      <c r="L91" s="71">
        <f>SUMIF(Inputs!$A:$A,Summaries!$B91&amp;L$42,Inputs!$E:$E)</f>
        <v>236.5</v>
      </c>
      <c r="M91" s="71">
        <f>SUMIF(Inputs!$A:$A,Summaries!$B91&amp;M$42,Inputs!$E:$E)</f>
        <v>513.30000000000007</v>
      </c>
      <c r="N91" s="71">
        <f>SUMIF(Inputs!$A:$A,Summaries!$B91&amp;N$42,Inputs!$E:$E)</f>
        <v>582.4</v>
      </c>
      <c r="O91" s="115">
        <f t="shared" si="20"/>
        <v>3923.8500000000008</v>
      </c>
      <c r="P91" s="115">
        <f t="shared" si="21"/>
        <v>4265.8500000000013</v>
      </c>
    </row>
    <row r="92" spans="2:16" x14ac:dyDescent="0.2">
      <c r="B92" s="75">
        <f t="shared" si="19"/>
        <v>2020</v>
      </c>
      <c r="C92" s="71">
        <f>SUMIF(Inputs!$A:$A,Summaries!$B92&amp;C$42,Inputs!$E:$E)</f>
        <v>605</v>
      </c>
      <c r="D92" s="71">
        <f>SUMIF(Inputs!$A:$A,Summaries!$B92&amp;D$42,Inputs!$E:$E)</f>
        <v>611.79999999999995</v>
      </c>
      <c r="E92" s="71">
        <f>SUMIF(Inputs!$A:$A,Summaries!$B92&amp;E$42,Inputs!$E:$E)</f>
        <v>458.69999999999993</v>
      </c>
      <c r="F92" s="71">
        <f>SUMIF(Inputs!$A:$A,Summaries!$B92&amp;F$42,Inputs!$E:$E)</f>
        <v>362.2999999999999</v>
      </c>
      <c r="G92" s="71">
        <f>SUMIF(Inputs!$A:$A,Summaries!$B92&amp;G$42,Inputs!$E:$E)</f>
        <v>208.09999999999997</v>
      </c>
      <c r="H92" s="71">
        <f>SUMIF(Inputs!$A:$A,Summaries!$B92&amp;H$42,Inputs!$E:$E)</f>
        <v>23.799999999999997</v>
      </c>
      <c r="I92" s="71">
        <f>SUMIF(Inputs!$A:$A,Summaries!$B92&amp;I$42,Inputs!$E:$E)</f>
        <v>0</v>
      </c>
      <c r="J92" s="71">
        <f>SUMIF(Inputs!$A:$A,Summaries!$B92&amp;J$42,Inputs!$E:$E)</f>
        <v>0.8</v>
      </c>
      <c r="K92" s="71">
        <f>SUMIF(Inputs!$A:$A,Summaries!$B92&amp;K$42,Inputs!$E:$E)</f>
        <v>69.100000000000009</v>
      </c>
      <c r="L92" s="71">
        <f>SUMIF(Inputs!$A:$A,Summaries!$B92&amp;L$42,Inputs!$E:$E)</f>
        <v>270.3</v>
      </c>
      <c r="M92" s="71">
        <f>SUMIF(Inputs!$A:$A,Summaries!$B92&amp;M$42,Inputs!$E:$E)</f>
        <v>334.79999999999995</v>
      </c>
      <c r="N92" s="71">
        <f>SUMIF(Inputs!$A:$A,Summaries!$B92&amp;N$42,Inputs!$E:$E)</f>
        <v>567.29999999999995</v>
      </c>
      <c r="O92" s="115">
        <f t="shared" si="20"/>
        <v>3512.0000000000009</v>
      </c>
      <c r="P92" s="115">
        <f t="shared" si="21"/>
        <v>4009.6000000000008</v>
      </c>
    </row>
    <row r="93" spans="2:16" x14ac:dyDescent="0.2">
      <c r="B93" s="75">
        <f>+B94-1</f>
        <v>2021</v>
      </c>
      <c r="C93" s="71">
        <f>SUMIF(Inputs!$A:$A,Summaries!$B93&amp;C$42,Inputs!$E:$E)</f>
        <v>642.64999999999986</v>
      </c>
      <c r="D93" s="71">
        <f>SUMIF(Inputs!$A:$A,Summaries!$B93&amp;D$42,Inputs!$E:$E)</f>
        <v>653</v>
      </c>
      <c r="E93" s="71">
        <f>SUMIF(Inputs!$A:$A,Summaries!$B93&amp;E$42,Inputs!$E:$E)</f>
        <v>460.70000000000005</v>
      </c>
      <c r="F93" s="71">
        <f>SUMIF(Inputs!$A:$A,Summaries!$B93&amp;F$42,Inputs!$E:$E)</f>
        <v>302.39999999999998</v>
      </c>
      <c r="G93" s="71">
        <f>SUMIF(Inputs!$A:$A,Summaries!$B93&amp;G$42,Inputs!$E:$E)</f>
        <v>164.2</v>
      </c>
      <c r="H93" s="71">
        <f>SUMIF(Inputs!$A:$A,Summaries!$B93&amp;H$42,Inputs!$E:$E)</f>
        <v>7.0000000000000009</v>
      </c>
      <c r="I93" s="71">
        <f>SUMIF(Inputs!$A:$A,Summaries!$B93&amp;I$42,Inputs!$E:$E)</f>
        <v>4.4000000000000004</v>
      </c>
      <c r="J93" s="71">
        <f>SUMIF(Inputs!$A:$A,Summaries!$B93&amp;J$42,Inputs!$E:$E)</f>
        <v>0.85</v>
      </c>
      <c r="K93" s="71">
        <f>SUMIF(Inputs!$A:$A,Summaries!$B93&amp;K$42,Inputs!$E:$E)</f>
        <v>35.6</v>
      </c>
      <c r="L93" s="71">
        <f>SUMIF(Inputs!$A:$A,Summaries!$B93&amp;L$42,Inputs!$E:$E)</f>
        <v>145.19999999999999</v>
      </c>
      <c r="M93" s="71">
        <f>SUMIF(Inputs!$A:$A,Summaries!$B93&amp;M$42,Inputs!$E:$E)</f>
        <v>413.7</v>
      </c>
      <c r="N93" s="71">
        <f>SUMIF(Inputs!$A:$A,Summaries!$B93&amp;N$42,Inputs!$E:$E)</f>
        <v>500.6</v>
      </c>
      <c r="O93" s="115">
        <f t="shared" si="20"/>
        <v>3330.2999999999993</v>
      </c>
      <c r="P93" s="115">
        <f t="shared" si="21"/>
        <v>3795.4499999999994</v>
      </c>
    </row>
    <row r="94" spans="2:16" x14ac:dyDescent="0.2">
      <c r="B94" s="75">
        <v>2022</v>
      </c>
      <c r="C94" s="71">
        <f>SUMIF(Inputs!$A:$A,Summaries!$B94&amp;C$42,Inputs!$E:$E)</f>
        <v>809.35</v>
      </c>
      <c r="D94" s="71">
        <f>SUMIF(Inputs!$A:$A,Summaries!$B94&amp;D$42,Inputs!$E:$E)</f>
        <v>626.54999999999995</v>
      </c>
      <c r="E94" s="71">
        <f>SUMIF(Inputs!$A:$A,Summaries!$B94&amp;E$42,Inputs!$E:$E)</f>
        <v>523.90000000000009</v>
      </c>
      <c r="F94" s="71">
        <f>SUMIF(Inputs!$A:$A,Summaries!$B94&amp;F$42,Inputs!$E:$E)</f>
        <v>339.94999999999993</v>
      </c>
      <c r="G94" s="71">
        <f>SUMIF(Inputs!$A:$A,Summaries!$B94&amp;G$42,Inputs!$E:$E)</f>
        <v>108.24999999999997</v>
      </c>
      <c r="H94" s="71">
        <f>SUMIF(Inputs!$A:$A,Summaries!$B94&amp;H$42,Inputs!$E:$E)</f>
        <v>17.699999999999996</v>
      </c>
      <c r="I94" s="71">
        <f>SUMIF(Inputs!$A:$A,Summaries!$B94&amp;I$42,Inputs!$E:$E)</f>
        <v>0</v>
      </c>
      <c r="J94" s="71">
        <f>SUMIF(Inputs!$A:$A,Summaries!$B94&amp;J$42,Inputs!$E:$E)</f>
        <v>0</v>
      </c>
      <c r="K94" s="71">
        <f>SUMIF(Inputs!$A:$A,Summaries!$B94&amp;K$42,Inputs!$E:$E)</f>
        <v>52.3</v>
      </c>
      <c r="L94" s="71">
        <f>SUMIF(Inputs!$A:$A,Summaries!$B94&amp;L$42,Inputs!$E:$E)</f>
        <v>236.70000000000002</v>
      </c>
      <c r="M94" s="71">
        <f>SUMIF(Inputs!$A:$A,Summaries!$B94&amp;M$42,Inputs!$E:$E)</f>
        <v>380.09999999999997</v>
      </c>
      <c r="N94" s="71">
        <f>SUMIF(Inputs!$A:$A,Summaries!$B94&amp;N$42,Inputs!$E:$E)</f>
        <v>575.29999999999984</v>
      </c>
      <c r="O94" s="115">
        <f t="shared" si="20"/>
        <v>3670.0999999999995</v>
      </c>
      <c r="P94" s="115">
        <f t="shared" si="21"/>
        <v>4106.4999999999991</v>
      </c>
    </row>
    <row r="95" spans="2:16" x14ac:dyDescent="0.2">
      <c r="B95" s="84" t="s">
        <v>99</v>
      </c>
      <c r="C95" s="85">
        <f>AVERAGE(C85:C94)</f>
        <v>707.58999999999992</v>
      </c>
      <c r="D95" s="85">
        <f t="shared" ref="D95:N95" si="22">AVERAGE(D85:D94)</f>
        <v>639.22500000000002</v>
      </c>
      <c r="E95" s="85">
        <f t="shared" si="22"/>
        <v>550.22</v>
      </c>
      <c r="F95" s="85">
        <f t="shared" si="22"/>
        <v>347.01499999999999</v>
      </c>
      <c r="G95" s="85">
        <f t="shared" si="22"/>
        <v>139.57999999999998</v>
      </c>
      <c r="H95" s="85">
        <f t="shared" si="22"/>
        <v>23.060000000000002</v>
      </c>
      <c r="I95" s="85">
        <f t="shared" si="22"/>
        <v>1.37</v>
      </c>
      <c r="J95" s="85">
        <f t="shared" si="22"/>
        <v>3.2950000000000004</v>
      </c>
      <c r="K95" s="85">
        <f t="shared" si="22"/>
        <v>50.260000000000005</v>
      </c>
      <c r="L95" s="85">
        <f t="shared" si="22"/>
        <v>222.22000000000003</v>
      </c>
      <c r="M95" s="85">
        <f t="shared" si="22"/>
        <v>420.84500000000008</v>
      </c>
      <c r="N95" s="85">
        <f t="shared" si="22"/>
        <v>579.06000000000006</v>
      </c>
      <c r="O95" s="115">
        <f t="shared" si="20"/>
        <v>3683.7400000000002</v>
      </c>
      <c r="P95" s="115">
        <f t="shared" si="21"/>
        <v>4096.4800000000005</v>
      </c>
    </row>
    <row r="96" spans="2:16" x14ac:dyDescent="0.2">
      <c r="B96" s="84" t="s">
        <v>155</v>
      </c>
      <c r="C96" s="125" cm="1">
        <f t="array" ref="C96:N96">TRANSPOSE('Purchased Power Model'!E123:E134)</f>
        <v>585.09999999999991</v>
      </c>
      <c r="D96" s="125">
        <v>543.29999999999995</v>
      </c>
      <c r="E96" s="125">
        <v>530.90000000000009</v>
      </c>
      <c r="F96" s="125">
        <v>275.70000000000005</v>
      </c>
      <c r="G96" s="125">
        <v>153.89999999999998</v>
      </c>
      <c r="H96" s="125">
        <v>16.099999999999998</v>
      </c>
      <c r="I96" s="125">
        <v>0</v>
      </c>
      <c r="J96" s="125">
        <v>7</v>
      </c>
      <c r="K96" s="125">
        <v>26</v>
      </c>
      <c r="L96" s="125">
        <v>222.22000000000003</v>
      </c>
      <c r="M96" s="125">
        <v>420.84500000000008</v>
      </c>
      <c r="N96" s="125">
        <v>579.06000000000006</v>
      </c>
      <c r="O96" s="47"/>
      <c r="P96" s="47"/>
    </row>
    <row r="97" spans="2:16" x14ac:dyDescent="0.2">
      <c r="B97" s="84" t="s">
        <v>156</v>
      </c>
      <c r="C97" s="125" cm="1">
        <f t="array" ref="C97:N97">TRANSPOSE('Purchased Power Model'!E135:E146)</f>
        <v>703.65</v>
      </c>
      <c r="D97" s="125">
        <v>630.40499999999997</v>
      </c>
      <c r="E97" s="125">
        <v>547.82999999999993</v>
      </c>
      <c r="F97" s="125">
        <v>338.72500000000002</v>
      </c>
      <c r="G97" s="125">
        <v>144.06</v>
      </c>
      <c r="H97" s="125">
        <v>21.37</v>
      </c>
      <c r="I97" s="125">
        <v>1.24</v>
      </c>
      <c r="J97" s="125">
        <v>3.5549999999999997</v>
      </c>
      <c r="K97" s="125">
        <v>44.225000000000009</v>
      </c>
      <c r="L97" s="125">
        <v>222.22000000000003</v>
      </c>
      <c r="M97" s="125">
        <v>420.84500000000008</v>
      </c>
      <c r="N97" s="125">
        <v>579.06000000000006</v>
      </c>
      <c r="O97" s="47"/>
      <c r="P97" s="47"/>
    </row>
    <row r="98" spans="2:16" x14ac:dyDescent="0.2">
      <c r="B98" s="74"/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47"/>
      <c r="P98" s="47"/>
    </row>
    <row r="99" spans="2:16" ht="24" customHeight="1" x14ac:dyDescent="0.2">
      <c r="B99" s="76" t="s">
        <v>136</v>
      </c>
      <c r="C99" s="76" t="s">
        <v>83</v>
      </c>
      <c r="D99" s="76" t="s">
        <v>84</v>
      </c>
      <c r="E99" s="76" t="s">
        <v>85</v>
      </c>
      <c r="F99" s="76" t="s">
        <v>86</v>
      </c>
      <c r="G99" s="76" t="s">
        <v>60</v>
      </c>
      <c r="H99" s="76" t="s">
        <v>87</v>
      </c>
      <c r="I99" s="76" t="s">
        <v>88</v>
      </c>
      <c r="J99" s="76" t="s">
        <v>89</v>
      </c>
      <c r="K99" s="76" t="s">
        <v>90</v>
      </c>
      <c r="L99" s="76" t="s">
        <v>91</v>
      </c>
      <c r="M99" s="76" t="s">
        <v>92</v>
      </c>
      <c r="N99" s="76" t="s">
        <v>93</v>
      </c>
      <c r="O99" s="47"/>
      <c r="P99" s="47"/>
    </row>
    <row r="100" spans="2:16" x14ac:dyDescent="0.2">
      <c r="B100" s="73">
        <f t="shared" ref="B100:B109" si="23">+B85</f>
        <v>2013</v>
      </c>
      <c r="C100" s="71">
        <f>SUMIF(Inputs!$A:$A,Summaries!$B100&amp;C$42,Inputs!$F:$F)</f>
        <v>0</v>
      </c>
      <c r="D100" s="71">
        <f>SUMIF(Inputs!$A:$A,Summaries!$B100&amp;D$42,Inputs!$F:$F)</f>
        <v>0</v>
      </c>
      <c r="E100" s="71">
        <f>SUMIF(Inputs!$A:$A,Summaries!$B100&amp;E$42,Inputs!$F:$F)</f>
        <v>0</v>
      </c>
      <c r="F100" s="71">
        <f>SUMIF(Inputs!$A:$A,Summaries!$B100&amp;F$42,Inputs!$F:$F)</f>
        <v>0</v>
      </c>
      <c r="G100" s="71">
        <f>SUMIF(Inputs!$A:$A,Summaries!$B100&amp;G$42,Inputs!$F:$F)</f>
        <v>23.1</v>
      </c>
      <c r="H100" s="71">
        <f>SUMIF(Inputs!$A:$A,Summaries!$B100&amp;H$42,Inputs!$F:$F)</f>
        <v>60</v>
      </c>
      <c r="I100" s="71">
        <f>SUMIF(Inputs!$A:$A,Summaries!$B100&amp;I$42,Inputs!$F:$F)</f>
        <v>131.20000000000002</v>
      </c>
      <c r="J100" s="71">
        <f>SUMIF(Inputs!$A:$A,Summaries!$B100&amp;J$42,Inputs!$F:$F)</f>
        <v>93.799999999999983</v>
      </c>
      <c r="K100" s="71">
        <f>SUMIF(Inputs!$A:$A,Summaries!$B100&amp;K$42,Inputs!$F:$F)</f>
        <v>28.749999999999996</v>
      </c>
      <c r="L100" s="71">
        <f>SUMIF(Inputs!$A:$A,Summaries!$B100&amp;L$42,Inputs!$F:$F)</f>
        <v>0.4</v>
      </c>
      <c r="M100" s="71">
        <f>SUMIF(Inputs!$A:$A,Summaries!$B100&amp;M$42,Inputs!$F:$F)</f>
        <v>0</v>
      </c>
      <c r="N100" s="71">
        <f>SUMIF(Inputs!$A:$A,Summaries!$B100&amp;N$42,Inputs!$F:$F)</f>
        <v>0</v>
      </c>
      <c r="O100" s="115">
        <f t="shared" ref="O100:O110" si="24">SUM(C100:N100)</f>
        <v>337.25</v>
      </c>
      <c r="P100" s="47"/>
    </row>
    <row r="101" spans="2:16" x14ac:dyDescent="0.2">
      <c r="B101" s="73">
        <f t="shared" si="23"/>
        <v>2014</v>
      </c>
      <c r="C101" s="71">
        <f>SUMIF(Inputs!$A:$A,Summaries!$B101&amp;C$42,Inputs!$F:$F)</f>
        <v>0</v>
      </c>
      <c r="D101" s="71">
        <f>SUMIF(Inputs!$A:$A,Summaries!$B101&amp;D$42,Inputs!$F:$F)</f>
        <v>0</v>
      </c>
      <c r="E101" s="71">
        <f>SUMIF(Inputs!$A:$A,Summaries!$B101&amp;E$42,Inputs!$F:$F)</f>
        <v>0</v>
      </c>
      <c r="F101" s="71">
        <f>SUMIF(Inputs!$A:$A,Summaries!$B101&amp;F$42,Inputs!$F:$F)</f>
        <v>0</v>
      </c>
      <c r="G101" s="71">
        <f>SUMIF(Inputs!$A:$A,Summaries!$B101&amp;G$42,Inputs!$F:$F)</f>
        <v>11.9</v>
      </c>
      <c r="H101" s="71">
        <f>SUMIF(Inputs!$A:$A,Summaries!$B101&amp;H$42,Inputs!$F:$F)</f>
        <v>68.099999999999994</v>
      </c>
      <c r="I101" s="71">
        <f>SUMIF(Inputs!$A:$A,Summaries!$B101&amp;I$42,Inputs!$F:$F)</f>
        <v>71</v>
      </c>
      <c r="J101" s="71">
        <f>SUMIF(Inputs!$A:$A,Summaries!$B101&amp;J$42,Inputs!$F:$F)</f>
        <v>81.799999999999983</v>
      </c>
      <c r="K101" s="71">
        <f>SUMIF(Inputs!$A:$A,Summaries!$B101&amp;K$42,Inputs!$F:$F)</f>
        <v>30.099999999999998</v>
      </c>
      <c r="L101" s="71">
        <f>SUMIF(Inputs!$A:$A,Summaries!$B101&amp;L$42,Inputs!$F:$F)</f>
        <v>1.3</v>
      </c>
      <c r="M101" s="71">
        <f>SUMIF(Inputs!$A:$A,Summaries!$B101&amp;M$42,Inputs!$F:$F)</f>
        <v>0</v>
      </c>
      <c r="N101" s="71">
        <f>SUMIF(Inputs!$A:$A,Summaries!$B101&amp;N$42,Inputs!$F:$F)</f>
        <v>0</v>
      </c>
      <c r="O101" s="115">
        <f t="shared" si="24"/>
        <v>264.2</v>
      </c>
      <c r="P101" s="47"/>
    </row>
    <row r="102" spans="2:16" x14ac:dyDescent="0.2">
      <c r="B102" s="73">
        <f t="shared" si="23"/>
        <v>2015</v>
      </c>
      <c r="C102" s="71">
        <f>SUMIF(Inputs!$A:$A,Summaries!$B102&amp;C$42,Inputs!$F:$F)</f>
        <v>0</v>
      </c>
      <c r="D102" s="71">
        <f>SUMIF(Inputs!$A:$A,Summaries!$B102&amp;D$42,Inputs!$F:$F)</f>
        <v>0</v>
      </c>
      <c r="E102" s="71">
        <f>SUMIF(Inputs!$A:$A,Summaries!$B102&amp;E$42,Inputs!$F:$F)</f>
        <v>0</v>
      </c>
      <c r="F102" s="71">
        <f>SUMIF(Inputs!$A:$A,Summaries!$B102&amp;F$42,Inputs!$F:$F)</f>
        <v>0</v>
      </c>
      <c r="G102" s="71">
        <f>SUMIF(Inputs!$A:$A,Summaries!$B102&amp;G$42,Inputs!$F:$F)</f>
        <v>34.1</v>
      </c>
      <c r="H102" s="71">
        <f>SUMIF(Inputs!$A:$A,Summaries!$B102&amp;H$42,Inputs!$F:$F)</f>
        <v>32.299999999999997</v>
      </c>
      <c r="I102" s="71">
        <f>SUMIF(Inputs!$A:$A,Summaries!$B102&amp;I$42,Inputs!$F:$F)</f>
        <v>114.29999999999998</v>
      </c>
      <c r="J102" s="71">
        <f>SUMIF(Inputs!$A:$A,Summaries!$B102&amp;J$42,Inputs!$F:$F)</f>
        <v>88.6</v>
      </c>
      <c r="K102" s="71">
        <f>SUMIF(Inputs!$A:$A,Summaries!$B102&amp;K$42,Inputs!$F:$F)</f>
        <v>81.900000000000006</v>
      </c>
      <c r="L102" s="71">
        <f>SUMIF(Inputs!$A:$A,Summaries!$B102&amp;L$42,Inputs!$F:$F)</f>
        <v>0</v>
      </c>
      <c r="M102" s="71">
        <f>SUMIF(Inputs!$A:$A,Summaries!$B102&amp;M$42,Inputs!$F:$F)</f>
        <v>0</v>
      </c>
      <c r="N102" s="71">
        <f>SUMIF(Inputs!$A:$A,Summaries!$B102&amp;N$42,Inputs!$F:$F)</f>
        <v>0</v>
      </c>
      <c r="O102" s="115">
        <f t="shared" si="24"/>
        <v>351.19999999999993</v>
      </c>
      <c r="P102" s="47"/>
    </row>
    <row r="103" spans="2:16" x14ac:dyDescent="0.2">
      <c r="B103" s="73">
        <f t="shared" si="23"/>
        <v>2016</v>
      </c>
      <c r="C103" s="71">
        <f>SUMIF(Inputs!$A:$A,Summaries!$B103&amp;C$42,Inputs!$F:$F)</f>
        <v>0</v>
      </c>
      <c r="D103" s="71">
        <f>SUMIF(Inputs!$A:$A,Summaries!$B103&amp;D$42,Inputs!$F:$F)</f>
        <v>0</v>
      </c>
      <c r="E103" s="71">
        <f>SUMIF(Inputs!$A:$A,Summaries!$B103&amp;E$42,Inputs!$F:$F)</f>
        <v>0</v>
      </c>
      <c r="F103" s="71">
        <f>SUMIF(Inputs!$A:$A,Summaries!$B103&amp;F$42,Inputs!$F:$F)</f>
        <v>0</v>
      </c>
      <c r="G103" s="71">
        <f>SUMIF(Inputs!$A:$A,Summaries!$B103&amp;G$42,Inputs!$F:$F)</f>
        <v>36.9</v>
      </c>
      <c r="H103" s="71">
        <f>SUMIF(Inputs!$A:$A,Summaries!$B103&amp;H$42,Inputs!$F:$F)</f>
        <v>83.7</v>
      </c>
      <c r="I103" s="71">
        <f>SUMIF(Inputs!$A:$A,Summaries!$B103&amp;I$42,Inputs!$F:$F)</f>
        <v>176.89999999999998</v>
      </c>
      <c r="J103" s="71">
        <f>SUMIF(Inputs!$A:$A,Summaries!$B103&amp;J$42,Inputs!$F:$F)</f>
        <v>195.4</v>
      </c>
      <c r="K103" s="71">
        <f>SUMIF(Inputs!$A:$A,Summaries!$B103&amp;K$42,Inputs!$F:$F)</f>
        <v>69.400000000000006</v>
      </c>
      <c r="L103" s="71">
        <f>SUMIF(Inputs!$A:$A,Summaries!$B103&amp;L$42,Inputs!$F:$F)</f>
        <v>4.0999999999999996</v>
      </c>
      <c r="M103" s="71">
        <f>SUMIF(Inputs!$A:$A,Summaries!$B103&amp;M$42,Inputs!$F:$F)</f>
        <v>0</v>
      </c>
      <c r="N103" s="71">
        <f>SUMIF(Inputs!$A:$A,Summaries!$B103&amp;N$42,Inputs!$F:$F)</f>
        <v>0</v>
      </c>
      <c r="O103" s="115">
        <f t="shared" si="24"/>
        <v>566.4</v>
      </c>
      <c r="P103" s="47"/>
    </row>
    <row r="104" spans="2:16" x14ac:dyDescent="0.2">
      <c r="B104" s="73">
        <f t="shared" si="23"/>
        <v>2017</v>
      </c>
      <c r="C104" s="71">
        <f>SUMIF(Inputs!$A:$A,Summaries!$B104&amp;C$42,Inputs!$F:$F)</f>
        <v>0</v>
      </c>
      <c r="D104" s="71">
        <f>SUMIF(Inputs!$A:$A,Summaries!$B104&amp;D$42,Inputs!$F:$F)</f>
        <v>0</v>
      </c>
      <c r="E104" s="71">
        <f>SUMIF(Inputs!$A:$A,Summaries!$B104&amp;E$42,Inputs!$F:$F)</f>
        <v>0</v>
      </c>
      <c r="F104" s="71">
        <f>SUMIF(Inputs!$A:$A,Summaries!$B104&amp;F$42,Inputs!$F:$F)</f>
        <v>0</v>
      </c>
      <c r="G104" s="71">
        <f>SUMIF(Inputs!$A:$A,Summaries!$B104&amp;G$42,Inputs!$F:$F)</f>
        <v>9</v>
      </c>
      <c r="H104" s="71">
        <f>SUMIF(Inputs!$A:$A,Summaries!$B104&amp;H$42,Inputs!$F:$F)</f>
        <v>68.2</v>
      </c>
      <c r="I104" s="71">
        <f>SUMIF(Inputs!$A:$A,Summaries!$B104&amp;I$42,Inputs!$F:$F)</f>
        <v>116.49999999999999</v>
      </c>
      <c r="J104" s="71">
        <f>SUMIF(Inputs!$A:$A,Summaries!$B104&amp;J$42,Inputs!$F:$F)</f>
        <v>75.2</v>
      </c>
      <c r="K104" s="71">
        <f>SUMIF(Inputs!$A:$A,Summaries!$B104&amp;K$42,Inputs!$F:$F)</f>
        <v>71.499999999999986</v>
      </c>
      <c r="L104" s="71">
        <f>SUMIF(Inputs!$A:$A,Summaries!$B104&amp;L$42,Inputs!$F:$F)</f>
        <v>8.1</v>
      </c>
      <c r="M104" s="71">
        <f>SUMIF(Inputs!$A:$A,Summaries!$B104&amp;M$42,Inputs!$F:$F)</f>
        <v>0</v>
      </c>
      <c r="N104" s="71">
        <f>SUMIF(Inputs!$A:$A,Summaries!$B104&amp;N$42,Inputs!$F:$F)</f>
        <v>0</v>
      </c>
      <c r="O104" s="115">
        <f t="shared" si="24"/>
        <v>348.5</v>
      </c>
      <c r="P104" s="47"/>
    </row>
    <row r="105" spans="2:16" x14ac:dyDescent="0.2">
      <c r="B105" s="73">
        <f t="shared" si="23"/>
        <v>2018</v>
      </c>
      <c r="C105" s="71">
        <f>SUMIF(Inputs!$A:$A,Summaries!$B105&amp;C$42,Inputs!$F:$F)</f>
        <v>0</v>
      </c>
      <c r="D105" s="71">
        <f>SUMIF(Inputs!$A:$A,Summaries!$B105&amp;D$42,Inputs!$F:$F)</f>
        <v>0</v>
      </c>
      <c r="E105" s="71">
        <f>SUMIF(Inputs!$A:$A,Summaries!$B105&amp;E$42,Inputs!$F:$F)</f>
        <v>0</v>
      </c>
      <c r="F105" s="71">
        <f>SUMIF(Inputs!$A:$A,Summaries!$B105&amp;F$42,Inputs!$F:$F)</f>
        <v>0</v>
      </c>
      <c r="G105" s="71">
        <f>SUMIF(Inputs!$A:$A,Summaries!$B105&amp;G$42,Inputs!$F:$F)</f>
        <v>43.4</v>
      </c>
      <c r="H105" s="71">
        <f>SUMIF(Inputs!$A:$A,Summaries!$B105&amp;H$42,Inputs!$F:$F)</f>
        <v>60.5</v>
      </c>
      <c r="I105" s="71">
        <f>SUMIF(Inputs!$A:$A,Summaries!$B105&amp;I$42,Inputs!$F:$F)</f>
        <v>167.8</v>
      </c>
      <c r="J105" s="71">
        <f>SUMIF(Inputs!$A:$A,Summaries!$B105&amp;J$42,Inputs!$F:$F)</f>
        <v>162.4</v>
      </c>
      <c r="K105" s="71">
        <f>SUMIF(Inputs!$A:$A,Summaries!$B105&amp;K$42,Inputs!$F:$F)</f>
        <v>76.399999999999977</v>
      </c>
      <c r="L105" s="71">
        <f>SUMIF(Inputs!$A:$A,Summaries!$B105&amp;L$42,Inputs!$F:$F)</f>
        <v>8.1999999999999993</v>
      </c>
      <c r="M105" s="71">
        <f>SUMIF(Inputs!$A:$A,Summaries!$B105&amp;M$42,Inputs!$F:$F)</f>
        <v>0</v>
      </c>
      <c r="N105" s="71">
        <f>SUMIF(Inputs!$A:$A,Summaries!$B105&amp;N$42,Inputs!$F:$F)</f>
        <v>0</v>
      </c>
      <c r="O105" s="115">
        <f t="shared" si="24"/>
        <v>518.70000000000005</v>
      </c>
      <c r="P105" s="47"/>
    </row>
    <row r="106" spans="2:16" x14ac:dyDescent="0.2">
      <c r="B106" s="73">
        <f t="shared" si="23"/>
        <v>2019</v>
      </c>
      <c r="C106" s="71">
        <f>SUMIF(Inputs!$A:$A,Summaries!$B106&amp;C$42,Inputs!$F:$F)</f>
        <v>0</v>
      </c>
      <c r="D106" s="71">
        <f>SUMIF(Inputs!$A:$A,Summaries!$B106&amp;D$42,Inputs!$F:$F)</f>
        <v>0</v>
      </c>
      <c r="E106" s="71">
        <f>SUMIF(Inputs!$A:$A,Summaries!$B106&amp;E$42,Inputs!$F:$F)</f>
        <v>0</v>
      </c>
      <c r="F106" s="71">
        <f>SUMIF(Inputs!$A:$A,Summaries!$B106&amp;F$42,Inputs!$F:$F)</f>
        <v>0</v>
      </c>
      <c r="G106" s="71">
        <f>SUMIF(Inputs!$A:$A,Summaries!$B106&amp;G$42,Inputs!$F:$F)</f>
        <v>0</v>
      </c>
      <c r="H106" s="71">
        <f>SUMIF(Inputs!$A:$A,Summaries!$B106&amp;H$42,Inputs!$F:$F)</f>
        <v>41.300000000000004</v>
      </c>
      <c r="I106" s="71">
        <f>SUMIF(Inputs!$A:$A,Summaries!$B106&amp;I$42,Inputs!$F:$F)</f>
        <v>166.90000000000003</v>
      </c>
      <c r="J106" s="71">
        <f>SUMIF(Inputs!$A:$A,Summaries!$B106&amp;J$42,Inputs!$F:$F)</f>
        <v>103.30000000000003</v>
      </c>
      <c r="K106" s="71">
        <f>SUMIF(Inputs!$A:$A,Summaries!$B106&amp;K$42,Inputs!$F:$F)</f>
        <v>25.400000000000002</v>
      </c>
      <c r="L106" s="71">
        <f>SUMIF(Inputs!$A:$A,Summaries!$B106&amp;L$42,Inputs!$F:$F)</f>
        <v>5.0999999999999996</v>
      </c>
      <c r="M106" s="71">
        <f>SUMIF(Inputs!$A:$A,Summaries!$B106&amp;M$42,Inputs!$F:$F)</f>
        <v>0</v>
      </c>
      <c r="N106" s="71">
        <f>SUMIF(Inputs!$A:$A,Summaries!$B106&amp;N$42,Inputs!$F:$F)</f>
        <v>0</v>
      </c>
      <c r="O106" s="115">
        <f t="shared" si="24"/>
        <v>342.00000000000006</v>
      </c>
      <c r="P106" s="47"/>
    </row>
    <row r="107" spans="2:16" x14ac:dyDescent="0.2">
      <c r="B107" s="73">
        <f t="shared" si="23"/>
        <v>2020</v>
      </c>
      <c r="C107" s="71">
        <f>SUMIF(Inputs!$A:$A,Summaries!$B107&amp;C$42,Inputs!$F:$F)</f>
        <v>0</v>
      </c>
      <c r="D107" s="71">
        <f>SUMIF(Inputs!$A:$A,Summaries!$B107&amp;D$42,Inputs!$F:$F)</f>
        <v>0</v>
      </c>
      <c r="E107" s="71">
        <f>SUMIF(Inputs!$A:$A,Summaries!$B107&amp;E$42,Inputs!$F:$F)</f>
        <v>0</v>
      </c>
      <c r="F107" s="71">
        <f>SUMIF(Inputs!$A:$A,Summaries!$B107&amp;F$42,Inputs!$F:$F)</f>
        <v>0</v>
      </c>
      <c r="G107" s="71">
        <f>SUMIF(Inputs!$A:$A,Summaries!$B107&amp;G$42,Inputs!$F:$F)</f>
        <v>24.2</v>
      </c>
      <c r="H107" s="71">
        <f>SUMIF(Inputs!$A:$A,Summaries!$B107&amp;H$42,Inputs!$F:$F)</f>
        <v>97.700000000000017</v>
      </c>
      <c r="I107" s="71">
        <f>SUMIF(Inputs!$A:$A,Summaries!$B107&amp;I$42,Inputs!$F:$F)</f>
        <v>215.7</v>
      </c>
      <c r="J107" s="71">
        <f>SUMIF(Inputs!$A:$A,Summaries!$B107&amp;J$42,Inputs!$F:$F)</f>
        <v>126.69999999999999</v>
      </c>
      <c r="K107" s="71">
        <f>SUMIF(Inputs!$A:$A,Summaries!$B107&amp;K$42,Inputs!$F:$F)</f>
        <v>33.300000000000004</v>
      </c>
      <c r="L107" s="71">
        <f>SUMIF(Inputs!$A:$A,Summaries!$B107&amp;L$42,Inputs!$F:$F)</f>
        <v>0</v>
      </c>
      <c r="M107" s="71">
        <f>SUMIF(Inputs!$A:$A,Summaries!$B107&amp;M$42,Inputs!$F:$F)</f>
        <v>0</v>
      </c>
      <c r="N107" s="71">
        <f>SUMIF(Inputs!$A:$A,Summaries!$B107&amp;N$42,Inputs!$F:$F)</f>
        <v>0</v>
      </c>
      <c r="O107" s="115">
        <f t="shared" si="24"/>
        <v>497.6</v>
      </c>
      <c r="P107" s="47"/>
    </row>
    <row r="108" spans="2:16" x14ac:dyDescent="0.2">
      <c r="B108" s="73">
        <f t="shared" si="23"/>
        <v>2021</v>
      </c>
      <c r="C108" s="71">
        <f>SUMIF(Inputs!$A:$A,Summaries!$B108&amp;C$42,Inputs!$F:$F)</f>
        <v>0</v>
      </c>
      <c r="D108" s="71">
        <f>SUMIF(Inputs!$A:$A,Summaries!$B108&amp;D$42,Inputs!$F:$F)</f>
        <v>0</v>
      </c>
      <c r="E108" s="71">
        <f>SUMIF(Inputs!$A:$A,Summaries!$B108&amp;E$42,Inputs!$F:$F)</f>
        <v>0</v>
      </c>
      <c r="F108" s="71">
        <f>SUMIF(Inputs!$A:$A,Summaries!$B108&amp;F$42,Inputs!$F:$F)</f>
        <v>0</v>
      </c>
      <c r="G108" s="71">
        <f>SUMIF(Inputs!$A:$A,Summaries!$B108&amp;G$42,Inputs!$F:$F)</f>
        <v>27.9</v>
      </c>
      <c r="H108" s="71">
        <f>SUMIF(Inputs!$A:$A,Summaries!$B108&amp;H$42,Inputs!$F:$F)</f>
        <v>121.99999999999999</v>
      </c>
      <c r="I108" s="71">
        <f>SUMIF(Inputs!$A:$A,Summaries!$B108&amp;I$42,Inputs!$F:$F)</f>
        <v>105.75000000000001</v>
      </c>
      <c r="J108" s="71">
        <f>SUMIF(Inputs!$A:$A,Summaries!$B108&amp;J$42,Inputs!$F:$F)</f>
        <v>179</v>
      </c>
      <c r="K108" s="71">
        <f>SUMIF(Inputs!$A:$A,Summaries!$B108&amp;K$42,Inputs!$F:$F)</f>
        <v>24.900000000000002</v>
      </c>
      <c r="L108" s="71">
        <f>SUMIF(Inputs!$A:$A,Summaries!$B108&amp;L$42,Inputs!$F:$F)</f>
        <v>5.6000000000000005</v>
      </c>
      <c r="M108" s="71">
        <f>SUMIF(Inputs!$A:$A,Summaries!$B108&amp;M$42,Inputs!$F:$F)</f>
        <v>0</v>
      </c>
      <c r="N108" s="71">
        <f>SUMIF(Inputs!$A:$A,Summaries!$B108&amp;N$42,Inputs!$F:$F)</f>
        <v>0</v>
      </c>
      <c r="O108" s="115">
        <f t="shared" si="24"/>
        <v>465.15</v>
      </c>
      <c r="P108" s="47"/>
    </row>
    <row r="109" spans="2:16" x14ac:dyDescent="0.2">
      <c r="B109" s="73">
        <f t="shared" si="23"/>
        <v>2022</v>
      </c>
      <c r="C109" s="71">
        <f>SUMIF(Inputs!$A:$A,Summaries!$B109&amp;C$42,Inputs!$F:$F)</f>
        <v>0</v>
      </c>
      <c r="D109" s="71">
        <f>SUMIF(Inputs!$A:$A,Summaries!$B109&amp;D$42,Inputs!$F:$F)</f>
        <v>0</v>
      </c>
      <c r="E109" s="71">
        <f>SUMIF(Inputs!$A:$A,Summaries!$B109&amp;E$42,Inputs!$F:$F)</f>
        <v>0</v>
      </c>
      <c r="F109" s="71">
        <f>SUMIF(Inputs!$A:$A,Summaries!$B109&amp;F$42,Inputs!$F:$F)</f>
        <v>0</v>
      </c>
      <c r="G109" s="71">
        <f>SUMIF(Inputs!$A:$A,Summaries!$B109&amp;G$42,Inputs!$F:$F)</f>
        <v>36.75</v>
      </c>
      <c r="H109" s="71">
        <f>SUMIF(Inputs!$A:$A,Summaries!$B109&amp;H$42,Inputs!$F:$F)</f>
        <v>64.2</v>
      </c>
      <c r="I109" s="71">
        <f>SUMIF(Inputs!$A:$A,Summaries!$B109&amp;I$42,Inputs!$F:$F)</f>
        <v>144.69999999999996</v>
      </c>
      <c r="J109" s="71">
        <f>SUMIF(Inputs!$A:$A,Summaries!$B109&amp;J$42,Inputs!$F:$F)</f>
        <v>140.49999999999997</v>
      </c>
      <c r="K109" s="71">
        <f>SUMIF(Inputs!$A:$A,Summaries!$B109&amp;K$42,Inputs!$F:$F)</f>
        <v>49.15</v>
      </c>
      <c r="L109" s="71">
        <f>SUMIF(Inputs!$A:$A,Summaries!$B109&amp;L$42,Inputs!$F:$F)</f>
        <v>0.2</v>
      </c>
      <c r="M109" s="71">
        <f>SUMIF(Inputs!$A:$A,Summaries!$B109&amp;M$42,Inputs!$F:$F)</f>
        <v>0.9</v>
      </c>
      <c r="N109" s="71">
        <f>SUMIF(Inputs!$A:$A,Summaries!$B109&amp;N$42,Inputs!$F:$F)</f>
        <v>0</v>
      </c>
      <c r="O109" s="115">
        <f t="shared" si="24"/>
        <v>436.39999999999992</v>
      </c>
      <c r="P109" s="47"/>
    </row>
    <row r="110" spans="2:16" x14ac:dyDescent="0.2">
      <c r="B110" s="84" t="s">
        <v>99</v>
      </c>
      <c r="C110" s="85">
        <f>AVERAGE(C100:C109)</f>
        <v>0</v>
      </c>
      <c r="D110" s="85">
        <f t="shared" ref="D110:N110" si="25">AVERAGE(D100:D109)</f>
        <v>0</v>
      </c>
      <c r="E110" s="85">
        <f t="shared" si="25"/>
        <v>0</v>
      </c>
      <c r="F110" s="85">
        <f t="shared" si="25"/>
        <v>0</v>
      </c>
      <c r="G110" s="85">
        <f t="shared" si="25"/>
        <v>24.725000000000001</v>
      </c>
      <c r="H110" s="85">
        <f t="shared" si="25"/>
        <v>69.8</v>
      </c>
      <c r="I110" s="85">
        <f t="shared" si="25"/>
        <v>141.07500000000002</v>
      </c>
      <c r="J110" s="85">
        <f t="shared" si="25"/>
        <v>124.67</v>
      </c>
      <c r="K110" s="85">
        <f t="shared" si="25"/>
        <v>49.079999999999991</v>
      </c>
      <c r="L110" s="85">
        <f t="shared" si="25"/>
        <v>3.3</v>
      </c>
      <c r="M110" s="85">
        <f t="shared" si="25"/>
        <v>0.09</v>
      </c>
      <c r="N110" s="85">
        <f t="shared" si="25"/>
        <v>0</v>
      </c>
      <c r="O110" s="115">
        <f t="shared" si="24"/>
        <v>412.74</v>
      </c>
      <c r="P110" s="47"/>
    </row>
    <row r="111" spans="2:16" x14ac:dyDescent="0.2">
      <c r="B111" s="84" t="s">
        <v>155</v>
      </c>
      <c r="C111" s="125" cm="1">
        <f t="array" ref="C111:N111">TRANSPOSE('Purchased Power Model'!F123:F134)</f>
        <v>0</v>
      </c>
      <c r="D111" s="125">
        <v>0</v>
      </c>
      <c r="E111" s="125">
        <v>0</v>
      </c>
      <c r="F111" s="125">
        <v>7.1000000000000005</v>
      </c>
      <c r="G111" s="125">
        <v>15</v>
      </c>
      <c r="H111" s="125">
        <v>59.100000000000009</v>
      </c>
      <c r="I111" s="125">
        <v>128.29999999999995</v>
      </c>
      <c r="J111" s="125">
        <v>70.799999999999983</v>
      </c>
      <c r="K111" s="125">
        <v>47</v>
      </c>
      <c r="L111" s="125">
        <v>3.3</v>
      </c>
      <c r="M111" s="125">
        <v>0.09</v>
      </c>
      <c r="N111" s="125">
        <v>0</v>
      </c>
      <c r="O111" s="47"/>
      <c r="P111" s="47"/>
    </row>
    <row r="112" spans="2:16" x14ac:dyDescent="0.2">
      <c r="B112" s="84" t="s">
        <v>156</v>
      </c>
      <c r="C112" s="125" cm="1">
        <f t="array" ref="C112:N112">TRANSPOSE('Purchased Power Model'!F135:F146)</f>
        <v>0</v>
      </c>
      <c r="D112" s="125">
        <v>0</v>
      </c>
      <c r="E112" s="125">
        <v>0</v>
      </c>
      <c r="F112" s="125">
        <v>0.71000000000000008</v>
      </c>
      <c r="G112" s="125">
        <v>23.914999999999999</v>
      </c>
      <c r="H112" s="125">
        <v>69.710000000000008</v>
      </c>
      <c r="I112" s="125">
        <v>140.78500000000003</v>
      </c>
      <c r="J112" s="125">
        <v>122.37</v>
      </c>
      <c r="K112" s="125">
        <v>50.904999999999987</v>
      </c>
      <c r="L112" s="125">
        <v>3.3</v>
      </c>
      <c r="M112" s="125">
        <v>0.09</v>
      </c>
      <c r="N112" s="125">
        <v>0</v>
      </c>
      <c r="O112" s="47"/>
      <c r="P112" s="47"/>
    </row>
    <row r="113" spans="1:16" x14ac:dyDescent="0.2">
      <c r="B113" s="74"/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47"/>
      <c r="P113" s="47"/>
    </row>
    <row r="114" spans="1:16" x14ac:dyDescent="0.2">
      <c r="A114" s="70"/>
      <c r="B114" s="70"/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47"/>
      <c r="P114" s="47"/>
    </row>
    <row r="115" spans="1:16" ht="24" customHeight="1" x14ac:dyDescent="0.2">
      <c r="B115" s="76" t="s">
        <v>6</v>
      </c>
      <c r="C115" s="76" t="s">
        <v>83</v>
      </c>
      <c r="D115" s="76" t="s">
        <v>84</v>
      </c>
      <c r="E115" s="76" t="s">
        <v>85</v>
      </c>
      <c r="F115" s="76" t="s">
        <v>86</v>
      </c>
      <c r="G115" s="76" t="s">
        <v>60</v>
      </c>
      <c r="H115" s="76" t="s">
        <v>87</v>
      </c>
      <c r="I115" s="76" t="s">
        <v>88</v>
      </c>
      <c r="J115" s="76" t="s">
        <v>89</v>
      </c>
      <c r="K115" s="76" t="s">
        <v>90</v>
      </c>
      <c r="L115" s="76" t="s">
        <v>91</v>
      </c>
      <c r="M115" s="76" t="s">
        <v>92</v>
      </c>
      <c r="N115" s="76" t="s">
        <v>93</v>
      </c>
      <c r="O115" s="47"/>
      <c r="P115" s="47"/>
    </row>
    <row r="116" spans="1:16" x14ac:dyDescent="0.2">
      <c r="B116" s="75">
        <f t="shared" ref="B116:B125" si="26">+B100</f>
        <v>2013</v>
      </c>
      <c r="C116" s="82">
        <v>31</v>
      </c>
      <c r="D116" s="82">
        <v>28</v>
      </c>
      <c r="E116" s="82">
        <v>31</v>
      </c>
      <c r="F116" s="82">
        <v>30</v>
      </c>
      <c r="G116" s="82">
        <v>31</v>
      </c>
      <c r="H116" s="82">
        <v>30</v>
      </c>
      <c r="I116" s="82">
        <v>31</v>
      </c>
      <c r="J116" s="82">
        <v>31</v>
      </c>
      <c r="K116" s="82">
        <v>30</v>
      </c>
      <c r="L116" s="82">
        <v>31</v>
      </c>
      <c r="M116" s="82">
        <v>30</v>
      </c>
      <c r="N116" s="82">
        <v>31</v>
      </c>
      <c r="O116" s="115"/>
      <c r="P116" s="47"/>
    </row>
    <row r="117" spans="1:16" x14ac:dyDescent="0.2">
      <c r="B117" s="75">
        <f t="shared" si="26"/>
        <v>2014</v>
      </c>
      <c r="C117" s="82">
        <v>31</v>
      </c>
      <c r="D117" s="82">
        <v>28</v>
      </c>
      <c r="E117" s="82">
        <v>31</v>
      </c>
      <c r="F117" s="82">
        <v>30</v>
      </c>
      <c r="G117" s="82">
        <v>31</v>
      </c>
      <c r="H117" s="82">
        <v>30</v>
      </c>
      <c r="I117" s="82">
        <v>31</v>
      </c>
      <c r="J117" s="82">
        <v>31</v>
      </c>
      <c r="K117" s="82">
        <v>30</v>
      </c>
      <c r="L117" s="82">
        <v>31</v>
      </c>
      <c r="M117" s="82">
        <v>30</v>
      </c>
      <c r="N117" s="82">
        <v>31</v>
      </c>
      <c r="O117" s="115"/>
      <c r="P117" s="47"/>
    </row>
    <row r="118" spans="1:16" x14ac:dyDescent="0.2">
      <c r="B118" s="75">
        <f t="shared" si="26"/>
        <v>2015</v>
      </c>
      <c r="C118" s="82">
        <v>31</v>
      </c>
      <c r="D118" s="82">
        <v>28</v>
      </c>
      <c r="E118" s="82">
        <v>31</v>
      </c>
      <c r="F118" s="82">
        <v>30</v>
      </c>
      <c r="G118" s="82">
        <v>31</v>
      </c>
      <c r="H118" s="82">
        <v>30</v>
      </c>
      <c r="I118" s="82">
        <v>31</v>
      </c>
      <c r="J118" s="82">
        <v>31</v>
      </c>
      <c r="K118" s="82">
        <v>30</v>
      </c>
      <c r="L118" s="82">
        <v>31</v>
      </c>
      <c r="M118" s="82">
        <v>30</v>
      </c>
      <c r="N118" s="82">
        <v>31</v>
      </c>
      <c r="O118" s="115"/>
      <c r="P118" s="47"/>
    </row>
    <row r="119" spans="1:16" x14ac:dyDescent="0.2">
      <c r="B119" s="75">
        <f t="shared" si="26"/>
        <v>2016</v>
      </c>
      <c r="C119" s="82">
        <v>31</v>
      </c>
      <c r="D119" s="82">
        <v>29</v>
      </c>
      <c r="E119" s="82">
        <v>31</v>
      </c>
      <c r="F119" s="82">
        <v>30</v>
      </c>
      <c r="G119" s="82">
        <v>31</v>
      </c>
      <c r="H119" s="82">
        <v>30</v>
      </c>
      <c r="I119" s="82">
        <v>31</v>
      </c>
      <c r="J119" s="82">
        <v>31</v>
      </c>
      <c r="K119" s="82">
        <v>30</v>
      </c>
      <c r="L119" s="82">
        <v>31</v>
      </c>
      <c r="M119" s="82">
        <v>30</v>
      </c>
      <c r="N119" s="82">
        <v>31</v>
      </c>
      <c r="O119" s="115"/>
      <c r="P119" s="47"/>
    </row>
    <row r="120" spans="1:16" x14ac:dyDescent="0.2">
      <c r="B120" s="75">
        <f t="shared" si="26"/>
        <v>2017</v>
      </c>
      <c r="C120" s="82">
        <v>31</v>
      </c>
      <c r="D120" s="82">
        <v>28</v>
      </c>
      <c r="E120" s="82">
        <v>31</v>
      </c>
      <c r="F120" s="82">
        <v>30</v>
      </c>
      <c r="G120" s="82">
        <v>31</v>
      </c>
      <c r="H120" s="82">
        <v>30</v>
      </c>
      <c r="I120" s="82">
        <v>31</v>
      </c>
      <c r="J120" s="82">
        <v>31</v>
      </c>
      <c r="K120" s="82">
        <v>30</v>
      </c>
      <c r="L120" s="82">
        <v>31</v>
      </c>
      <c r="M120" s="82">
        <v>30</v>
      </c>
      <c r="N120" s="82">
        <v>31</v>
      </c>
      <c r="O120" s="115"/>
      <c r="P120" s="47"/>
    </row>
    <row r="121" spans="1:16" x14ac:dyDescent="0.2">
      <c r="B121" s="75">
        <f t="shared" si="26"/>
        <v>2018</v>
      </c>
      <c r="C121" s="82">
        <v>31</v>
      </c>
      <c r="D121" s="82">
        <v>28</v>
      </c>
      <c r="E121" s="82">
        <v>31</v>
      </c>
      <c r="F121" s="82">
        <v>30</v>
      </c>
      <c r="G121" s="82">
        <v>31</v>
      </c>
      <c r="H121" s="82">
        <v>30</v>
      </c>
      <c r="I121" s="82">
        <v>31</v>
      </c>
      <c r="J121" s="82">
        <v>31</v>
      </c>
      <c r="K121" s="82">
        <v>30</v>
      </c>
      <c r="L121" s="82">
        <v>31</v>
      </c>
      <c r="M121" s="82">
        <v>30</v>
      </c>
      <c r="N121" s="82">
        <v>31</v>
      </c>
      <c r="O121" s="115"/>
      <c r="P121" s="47"/>
    </row>
    <row r="122" spans="1:16" x14ac:dyDescent="0.2">
      <c r="B122" s="75">
        <f t="shared" si="26"/>
        <v>2019</v>
      </c>
      <c r="C122" s="82">
        <v>31</v>
      </c>
      <c r="D122" s="82">
        <v>28</v>
      </c>
      <c r="E122" s="82">
        <v>31</v>
      </c>
      <c r="F122" s="82">
        <v>30</v>
      </c>
      <c r="G122" s="82">
        <v>31</v>
      </c>
      <c r="H122" s="82">
        <v>30</v>
      </c>
      <c r="I122" s="82">
        <v>31</v>
      </c>
      <c r="J122" s="82">
        <v>31</v>
      </c>
      <c r="K122" s="82">
        <v>30</v>
      </c>
      <c r="L122" s="82">
        <v>31</v>
      </c>
      <c r="M122" s="82">
        <v>30</v>
      </c>
      <c r="N122" s="82">
        <v>31</v>
      </c>
      <c r="O122" s="115"/>
      <c r="P122" s="47"/>
    </row>
    <row r="123" spans="1:16" x14ac:dyDescent="0.2">
      <c r="B123" s="75">
        <f t="shared" si="26"/>
        <v>2020</v>
      </c>
      <c r="C123" s="82">
        <v>31</v>
      </c>
      <c r="D123" s="82">
        <v>29</v>
      </c>
      <c r="E123" s="82">
        <v>31</v>
      </c>
      <c r="F123" s="82">
        <v>30</v>
      </c>
      <c r="G123" s="82">
        <v>31</v>
      </c>
      <c r="H123" s="82">
        <v>30</v>
      </c>
      <c r="I123" s="82">
        <v>31</v>
      </c>
      <c r="J123" s="82">
        <v>31</v>
      </c>
      <c r="K123" s="82">
        <v>30</v>
      </c>
      <c r="L123" s="82">
        <v>31</v>
      </c>
      <c r="M123" s="82">
        <v>30</v>
      </c>
      <c r="N123" s="82">
        <v>31</v>
      </c>
      <c r="O123" s="115"/>
      <c r="P123" s="47"/>
    </row>
    <row r="124" spans="1:16" x14ac:dyDescent="0.2">
      <c r="B124" s="75">
        <f t="shared" si="26"/>
        <v>2021</v>
      </c>
      <c r="C124" s="82">
        <v>31</v>
      </c>
      <c r="D124" s="82">
        <v>28</v>
      </c>
      <c r="E124" s="82">
        <v>31</v>
      </c>
      <c r="F124" s="82">
        <v>30</v>
      </c>
      <c r="G124" s="82">
        <v>31</v>
      </c>
      <c r="H124" s="82">
        <v>30</v>
      </c>
      <c r="I124" s="82">
        <v>31</v>
      </c>
      <c r="J124" s="82">
        <v>31</v>
      </c>
      <c r="K124" s="82">
        <v>30</v>
      </c>
      <c r="L124" s="82">
        <v>31</v>
      </c>
      <c r="M124" s="82">
        <v>30</v>
      </c>
      <c r="N124" s="82">
        <v>31</v>
      </c>
      <c r="O124" s="115"/>
      <c r="P124" s="47"/>
    </row>
    <row r="125" spans="1:16" x14ac:dyDescent="0.2">
      <c r="B125" s="75">
        <f t="shared" si="26"/>
        <v>2022</v>
      </c>
      <c r="C125" s="82">
        <v>31</v>
      </c>
      <c r="D125" s="82">
        <v>28</v>
      </c>
      <c r="E125" s="82">
        <v>31</v>
      </c>
      <c r="F125" s="82">
        <v>30</v>
      </c>
      <c r="G125" s="82">
        <v>31</v>
      </c>
      <c r="H125" s="82">
        <v>30</v>
      </c>
      <c r="I125" s="82">
        <v>31</v>
      </c>
      <c r="J125" s="82">
        <v>31</v>
      </c>
      <c r="K125" s="82">
        <v>30</v>
      </c>
      <c r="L125" s="82">
        <v>31</v>
      </c>
      <c r="M125" s="82">
        <v>30</v>
      </c>
      <c r="N125" s="82">
        <v>31</v>
      </c>
      <c r="O125" s="115"/>
      <c r="P125" s="47"/>
    </row>
    <row r="126" spans="1:16" x14ac:dyDescent="0.2">
      <c r="B126" s="84" t="s">
        <v>155</v>
      </c>
      <c r="C126" s="88" cm="1">
        <f t="array" ref="C126:N126">TRANSPOSE('Purchased Power Model'!G123:G134)</f>
        <v>31</v>
      </c>
      <c r="D126" s="88">
        <v>28</v>
      </c>
      <c r="E126" s="88">
        <v>31</v>
      </c>
      <c r="F126" s="88">
        <v>30</v>
      </c>
      <c r="G126" s="88">
        <v>31</v>
      </c>
      <c r="H126" s="88">
        <v>30</v>
      </c>
      <c r="I126" s="88">
        <v>31</v>
      </c>
      <c r="J126" s="88">
        <v>31</v>
      </c>
      <c r="K126" s="88">
        <v>30</v>
      </c>
      <c r="L126" s="88">
        <v>31</v>
      </c>
      <c r="M126" s="88">
        <v>30</v>
      </c>
      <c r="N126" s="88">
        <v>31</v>
      </c>
      <c r="O126" s="47"/>
      <c r="P126" s="47"/>
    </row>
    <row r="127" spans="1:16" x14ac:dyDescent="0.2">
      <c r="B127" s="84" t="s">
        <v>156</v>
      </c>
      <c r="C127" s="88" cm="1">
        <f t="array" ref="C127:N127">TRANSPOSE('Purchased Power Model'!G135:G146)</f>
        <v>31</v>
      </c>
      <c r="D127" s="88">
        <v>29</v>
      </c>
      <c r="E127" s="88">
        <v>31</v>
      </c>
      <c r="F127" s="88">
        <v>30</v>
      </c>
      <c r="G127" s="88">
        <v>31</v>
      </c>
      <c r="H127" s="88">
        <v>30</v>
      </c>
      <c r="I127" s="88">
        <v>31</v>
      </c>
      <c r="J127" s="88">
        <v>31</v>
      </c>
      <c r="K127" s="88">
        <v>30</v>
      </c>
      <c r="L127" s="88">
        <v>31</v>
      </c>
      <c r="M127" s="88">
        <v>30</v>
      </c>
      <c r="N127" s="88">
        <v>31</v>
      </c>
      <c r="O127" s="47"/>
      <c r="P127" s="47"/>
    </row>
    <row r="128" spans="1:16" x14ac:dyDescent="0.2">
      <c r="B128" s="74"/>
      <c r="C128" s="70"/>
      <c r="D128" s="70"/>
      <c r="E128" s="70"/>
      <c r="F128" s="70"/>
      <c r="G128" s="70"/>
      <c r="H128" s="70"/>
      <c r="I128" s="70"/>
      <c r="J128" s="70"/>
      <c r="K128" s="70"/>
      <c r="L128" s="70"/>
      <c r="M128" s="70"/>
      <c r="N128" s="70"/>
      <c r="O128" s="47"/>
      <c r="P128" s="47"/>
    </row>
    <row r="129" spans="2:16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  <c r="M129" s="70"/>
      <c r="N129" s="70"/>
      <c r="O129" s="47"/>
      <c r="P129" s="47"/>
    </row>
    <row r="130" spans="2:16" ht="24" customHeight="1" x14ac:dyDescent="0.2">
      <c r="B130" s="76" t="s">
        <v>95</v>
      </c>
      <c r="C130" s="76" t="s">
        <v>83</v>
      </c>
      <c r="D130" s="76" t="s">
        <v>84</v>
      </c>
      <c r="E130" s="76" t="s">
        <v>85</v>
      </c>
      <c r="F130" s="76" t="s">
        <v>86</v>
      </c>
      <c r="G130" s="76" t="s">
        <v>60</v>
      </c>
      <c r="H130" s="76" t="s">
        <v>87</v>
      </c>
      <c r="I130" s="76" t="s">
        <v>88</v>
      </c>
      <c r="J130" s="76" t="s">
        <v>89</v>
      </c>
      <c r="K130" s="76" t="s">
        <v>90</v>
      </c>
      <c r="L130" s="76" t="s">
        <v>91</v>
      </c>
      <c r="M130" s="76" t="s">
        <v>92</v>
      </c>
      <c r="N130" s="76" t="s">
        <v>93</v>
      </c>
      <c r="O130" s="47"/>
      <c r="P130" s="47"/>
    </row>
    <row r="131" spans="2:16" x14ac:dyDescent="0.2">
      <c r="B131" s="75">
        <f t="shared" ref="B131:B140" si="27">+B175</f>
        <v>2013</v>
      </c>
      <c r="C131" s="111">
        <v>0</v>
      </c>
      <c r="D131" s="111">
        <v>0</v>
      </c>
      <c r="E131" s="111">
        <v>0.33333333333333331</v>
      </c>
      <c r="F131" s="111">
        <v>1</v>
      </c>
      <c r="G131" s="111">
        <v>1</v>
      </c>
      <c r="H131" s="111">
        <v>0.66666666666666663</v>
      </c>
      <c r="I131" s="111">
        <v>0</v>
      </c>
      <c r="J131" s="111">
        <v>0</v>
      </c>
      <c r="K131" s="111">
        <v>0.33333333333333331</v>
      </c>
      <c r="L131" s="111">
        <v>1</v>
      </c>
      <c r="M131" s="111">
        <v>1</v>
      </c>
      <c r="N131" s="111">
        <v>0.66666666666666663</v>
      </c>
      <c r="O131" s="47"/>
      <c r="P131" s="47"/>
    </row>
    <row r="132" spans="2:16" x14ac:dyDescent="0.2">
      <c r="B132" s="75">
        <f t="shared" si="27"/>
        <v>2014</v>
      </c>
      <c r="C132" s="111">
        <f>+C131</f>
        <v>0</v>
      </c>
      <c r="D132" s="111">
        <f t="shared" ref="D132:N132" si="28">+D131</f>
        <v>0</v>
      </c>
      <c r="E132" s="111">
        <f t="shared" si="28"/>
        <v>0.33333333333333331</v>
      </c>
      <c r="F132" s="111">
        <f t="shared" si="28"/>
        <v>1</v>
      </c>
      <c r="G132" s="111">
        <f t="shared" si="28"/>
        <v>1</v>
      </c>
      <c r="H132" s="111">
        <f t="shared" si="28"/>
        <v>0.66666666666666663</v>
      </c>
      <c r="I132" s="111">
        <f t="shared" si="28"/>
        <v>0</v>
      </c>
      <c r="J132" s="111">
        <f t="shared" si="28"/>
        <v>0</v>
      </c>
      <c r="K132" s="111">
        <f t="shared" si="28"/>
        <v>0.33333333333333331</v>
      </c>
      <c r="L132" s="111">
        <f t="shared" si="28"/>
        <v>1</v>
      </c>
      <c r="M132" s="111">
        <f t="shared" si="28"/>
        <v>1</v>
      </c>
      <c r="N132" s="111">
        <f t="shared" si="28"/>
        <v>0.66666666666666663</v>
      </c>
      <c r="O132" s="47"/>
      <c r="P132" s="47"/>
    </row>
    <row r="133" spans="2:16" x14ac:dyDescent="0.2">
      <c r="B133" s="75">
        <f t="shared" si="27"/>
        <v>2015</v>
      </c>
      <c r="C133" s="111">
        <f t="shared" ref="C133:C140" si="29">+C132</f>
        <v>0</v>
      </c>
      <c r="D133" s="111">
        <f t="shared" ref="D133:D141" si="30">+D132</f>
        <v>0</v>
      </c>
      <c r="E133" s="111">
        <f t="shared" ref="E133:E141" si="31">+E132</f>
        <v>0.33333333333333331</v>
      </c>
      <c r="F133" s="111">
        <f t="shared" ref="F133:F141" si="32">+F132</f>
        <v>1</v>
      </c>
      <c r="G133" s="111">
        <f t="shared" ref="G133:G141" si="33">+G132</f>
        <v>1</v>
      </c>
      <c r="H133" s="111">
        <f t="shared" ref="H133:H141" si="34">+H132</f>
        <v>0.66666666666666663</v>
      </c>
      <c r="I133" s="111">
        <f t="shared" ref="I133:I141" si="35">+I132</f>
        <v>0</v>
      </c>
      <c r="J133" s="111">
        <f t="shared" ref="J133:J141" si="36">+J132</f>
        <v>0</v>
      </c>
      <c r="K133" s="111">
        <f t="shared" ref="K133:K141" si="37">+K132</f>
        <v>0.33333333333333331</v>
      </c>
      <c r="L133" s="111">
        <f t="shared" ref="L133:L141" si="38">+L132</f>
        <v>1</v>
      </c>
      <c r="M133" s="111">
        <f t="shared" ref="M133:M141" si="39">+M132</f>
        <v>1</v>
      </c>
      <c r="N133" s="111">
        <f t="shared" ref="N133:N141" si="40">+N132</f>
        <v>0.66666666666666663</v>
      </c>
      <c r="O133" s="47"/>
      <c r="P133" s="47"/>
    </row>
    <row r="134" spans="2:16" x14ac:dyDescent="0.2">
      <c r="B134" s="75">
        <f t="shared" si="27"/>
        <v>2016</v>
      </c>
      <c r="C134" s="111">
        <f t="shared" si="29"/>
        <v>0</v>
      </c>
      <c r="D134" s="111">
        <f t="shared" si="30"/>
        <v>0</v>
      </c>
      <c r="E134" s="111">
        <f t="shared" si="31"/>
        <v>0.33333333333333331</v>
      </c>
      <c r="F134" s="111">
        <f t="shared" si="32"/>
        <v>1</v>
      </c>
      <c r="G134" s="111">
        <f t="shared" si="33"/>
        <v>1</v>
      </c>
      <c r="H134" s="111">
        <f t="shared" si="34"/>
        <v>0.66666666666666663</v>
      </c>
      <c r="I134" s="111">
        <f t="shared" si="35"/>
        <v>0</v>
      </c>
      <c r="J134" s="111">
        <f t="shared" si="36"/>
        <v>0</v>
      </c>
      <c r="K134" s="111">
        <f t="shared" si="37"/>
        <v>0.33333333333333331</v>
      </c>
      <c r="L134" s="111">
        <f t="shared" si="38"/>
        <v>1</v>
      </c>
      <c r="M134" s="111">
        <f t="shared" si="39"/>
        <v>1</v>
      </c>
      <c r="N134" s="111">
        <f t="shared" si="40"/>
        <v>0.66666666666666663</v>
      </c>
      <c r="O134" s="47"/>
      <c r="P134" s="47"/>
    </row>
    <row r="135" spans="2:16" x14ac:dyDescent="0.2">
      <c r="B135" s="75">
        <f t="shared" si="27"/>
        <v>2017</v>
      </c>
      <c r="C135" s="111">
        <f t="shared" si="29"/>
        <v>0</v>
      </c>
      <c r="D135" s="111">
        <f t="shared" si="30"/>
        <v>0</v>
      </c>
      <c r="E135" s="111">
        <f t="shared" si="31"/>
        <v>0.33333333333333331</v>
      </c>
      <c r="F135" s="111">
        <f t="shared" si="32"/>
        <v>1</v>
      </c>
      <c r="G135" s="111">
        <f t="shared" si="33"/>
        <v>1</v>
      </c>
      <c r="H135" s="111">
        <f t="shared" si="34"/>
        <v>0.66666666666666663</v>
      </c>
      <c r="I135" s="111">
        <f t="shared" si="35"/>
        <v>0</v>
      </c>
      <c r="J135" s="111">
        <f t="shared" si="36"/>
        <v>0</v>
      </c>
      <c r="K135" s="111">
        <f t="shared" si="37"/>
        <v>0.33333333333333331</v>
      </c>
      <c r="L135" s="111">
        <f t="shared" si="38"/>
        <v>1</v>
      </c>
      <c r="M135" s="111">
        <f t="shared" si="39"/>
        <v>1</v>
      </c>
      <c r="N135" s="111">
        <f t="shared" si="40"/>
        <v>0.66666666666666663</v>
      </c>
      <c r="O135" s="47"/>
      <c r="P135" s="47"/>
    </row>
    <row r="136" spans="2:16" x14ac:dyDescent="0.2">
      <c r="B136" s="75">
        <f t="shared" si="27"/>
        <v>2018</v>
      </c>
      <c r="C136" s="111">
        <f t="shared" si="29"/>
        <v>0</v>
      </c>
      <c r="D136" s="111">
        <f t="shared" si="30"/>
        <v>0</v>
      </c>
      <c r="E136" s="111">
        <f t="shared" si="31"/>
        <v>0.33333333333333331</v>
      </c>
      <c r="F136" s="111">
        <f t="shared" si="32"/>
        <v>1</v>
      </c>
      <c r="G136" s="111">
        <f t="shared" si="33"/>
        <v>1</v>
      </c>
      <c r="H136" s="111">
        <f t="shared" si="34"/>
        <v>0.66666666666666663</v>
      </c>
      <c r="I136" s="111">
        <f t="shared" si="35"/>
        <v>0</v>
      </c>
      <c r="J136" s="111">
        <f t="shared" si="36"/>
        <v>0</v>
      </c>
      <c r="K136" s="111">
        <f t="shared" si="37"/>
        <v>0.33333333333333331</v>
      </c>
      <c r="L136" s="111">
        <f t="shared" si="38"/>
        <v>1</v>
      </c>
      <c r="M136" s="111">
        <f t="shared" si="39"/>
        <v>1</v>
      </c>
      <c r="N136" s="111">
        <f t="shared" si="40"/>
        <v>0.66666666666666663</v>
      </c>
      <c r="O136" s="47"/>
      <c r="P136" s="47"/>
    </row>
    <row r="137" spans="2:16" x14ac:dyDescent="0.2">
      <c r="B137" s="75">
        <f t="shared" si="27"/>
        <v>2019</v>
      </c>
      <c r="C137" s="111">
        <f t="shared" si="29"/>
        <v>0</v>
      </c>
      <c r="D137" s="111">
        <f t="shared" si="30"/>
        <v>0</v>
      </c>
      <c r="E137" s="111">
        <f t="shared" si="31"/>
        <v>0.33333333333333331</v>
      </c>
      <c r="F137" s="111">
        <f t="shared" si="32"/>
        <v>1</v>
      </c>
      <c r="G137" s="111">
        <f t="shared" si="33"/>
        <v>1</v>
      </c>
      <c r="H137" s="111">
        <f t="shared" si="34"/>
        <v>0.66666666666666663</v>
      </c>
      <c r="I137" s="111">
        <f t="shared" si="35"/>
        <v>0</v>
      </c>
      <c r="J137" s="111">
        <f t="shared" si="36"/>
        <v>0</v>
      </c>
      <c r="K137" s="111">
        <f t="shared" si="37"/>
        <v>0.33333333333333331</v>
      </c>
      <c r="L137" s="111">
        <f t="shared" si="38"/>
        <v>1</v>
      </c>
      <c r="M137" s="111">
        <f t="shared" si="39"/>
        <v>1</v>
      </c>
      <c r="N137" s="111">
        <f t="shared" si="40"/>
        <v>0.66666666666666663</v>
      </c>
      <c r="O137" s="47"/>
      <c r="P137" s="47"/>
    </row>
    <row r="138" spans="2:16" x14ac:dyDescent="0.2">
      <c r="B138" s="75">
        <f t="shared" si="27"/>
        <v>2020</v>
      </c>
      <c r="C138" s="111">
        <f t="shared" si="29"/>
        <v>0</v>
      </c>
      <c r="D138" s="111">
        <f t="shared" si="30"/>
        <v>0</v>
      </c>
      <c r="E138" s="111">
        <f t="shared" si="31"/>
        <v>0.33333333333333331</v>
      </c>
      <c r="F138" s="111">
        <f t="shared" si="32"/>
        <v>1</v>
      </c>
      <c r="G138" s="111">
        <f t="shared" si="33"/>
        <v>1</v>
      </c>
      <c r="H138" s="111">
        <f t="shared" si="34"/>
        <v>0.66666666666666663</v>
      </c>
      <c r="I138" s="111">
        <f t="shared" si="35"/>
        <v>0</v>
      </c>
      <c r="J138" s="111">
        <f t="shared" si="36"/>
        <v>0</v>
      </c>
      <c r="K138" s="111">
        <f t="shared" si="37"/>
        <v>0.33333333333333331</v>
      </c>
      <c r="L138" s="111">
        <f t="shared" si="38"/>
        <v>1</v>
      </c>
      <c r="M138" s="111">
        <f t="shared" si="39"/>
        <v>1</v>
      </c>
      <c r="N138" s="111">
        <f t="shared" si="40"/>
        <v>0.66666666666666663</v>
      </c>
      <c r="O138" s="47"/>
      <c r="P138" s="47"/>
    </row>
    <row r="139" spans="2:16" x14ac:dyDescent="0.2">
      <c r="B139" s="75">
        <f t="shared" si="27"/>
        <v>2021</v>
      </c>
      <c r="C139" s="111">
        <f t="shared" si="29"/>
        <v>0</v>
      </c>
      <c r="D139" s="111">
        <f t="shared" si="30"/>
        <v>0</v>
      </c>
      <c r="E139" s="111">
        <f t="shared" si="31"/>
        <v>0.33333333333333331</v>
      </c>
      <c r="F139" s="111">
        <f t="shared" si="32"/>
        <v>1</v>
      </c>
      <c r="G139" s="111">
        <f t="shared" si="33"/>
        <v>1</v>
      </c>
      <c r="H139" s="111">
        <f t="shared" si="34"/>
        <v>0.66666666666666663</v>
      </c>
      <c r="I139" s="111">
        <f t="shared" si="35"/>
        <v>0</v>
      </c>
      <c r="J139" s="111">
        <f t="shared" si="36"/>
        <v>0</v>
      </c>
      <c r="K139" s="111">
        <f t="shared" si="37"/>
        <v>0.33333333333333331</v>
      </c>
      <c r="L139" s="111">
        <f t="shared" si="38"/>
        <v>1</v>
      </c>
      <c r="M139" s="111">
        <f t="shared" si="39"/>
        <v>1</v>
      </c>
      <c r="N139" s="111">
        <f t="shared" si="40"/>
        <v>0.66666666666666663</v>
      </c>
      <c r="O139" s="47"/>
      <c r="P139" s="47"/>
    </row>
    <row r="140" spans="2:16" x14ac:dyDescent="0.2">
      <c r="B140" s="75">
        <f t="shared" si="27"/>
        <v>2022</v>
      </c>
      <c r="C140" s="111">
        <f t="shared" si="29"/>
        <v>0</v>
      </c>
      <c r="D140" s="111">
        <f t="shared" si="30"/>
        <v>0</v>
      </c>
      <c r="E140" s="111">
        <f t="shared" si="31"/>
        <v>0.33333333333333331</v>
      </c>
      <c r="F140" s="111">
        <f t="shared" si="32"/>
        <v>1</v>
      </c>
      <c r="G140" s="111">
        <f t="shared" si="33"/>
        <v>1</v>
      </c>
      <c r="H140" s="111">
        <f t="shared" si="34"/>
        <v>0.66666666666666663</v>
      </c>
      <c r="I140" s="111">
        <f t="shared" si="35"/>
        <v>0</v>
      </c>
      <c r="J140" s="111">
        <f t="shared" si="36"/>
        <v>0</v>
      </c>
      <c r="K140" s="111">
        <f t="shared" si="37"/>
        <v>0.33333333333333331</v>
      </c>
      <c r="L140" s="111">
        <f t="shared" si="38"/>
        <v>1</v>
      </c>
      <c r="M140" s="111">
        <f t="shared" si="39"/>
        <v>1</v>
      </c>
      <c r="N140" s="111">
        <f t="shared" si="40"/>
        <v>0.66666666666666663</v>
      </c>
      <c r="O140" s="47"/>
      <c r="P140" s="47"/>
    </row>
    <row r="141" spans="2:16" x14ac:dyDescent="0.2">
      <c r="B141" s="84" t="s">
        <v>155</v>
      </c>
      <c r="C141" s="126">
        <f>+C140</f>
        <v>0</v>
      </c>
      <c r="D141" s="126">
        <f t="shared" si="30"/>
        <v>0</v>
      </c>
      <c r="E141" s="126">
        <f t="shared" si="31"/>
        <v>0.33333333333333331</v>
      </c>
      <c r="F141" s="126">
        <f t="shared" si="32"/>
        <v>1</v>
      </c>
      <c r="G141" s="126">
        <f t="shared" si="33"/>
        <v>1</v>
      </c>
      <c r="H141" s="126">
        <f t="shared" si="34"/>
        <v>0.66666666666666663</v>
      </c>
      <c r="I141" s="126">
        <f t="shared" si="35"/>
        <v>0</v>
      </c>
      <c r="J141" s="126">
        <f t="shared" si="36"/>
        <v>0</v>
      </c>
      <c r="K141" s="126">
        <f t="shared" si="37"/>
        <v>0.33333333333333331</v>
      </c>
      <c r="L141" s="126">
        <f t="shared" si="38"/>
        <v>1</v>
      </c>
      <c r="M141" s="126">
        <f t="shared" si="39"/>
        <v>1</v>
      </c>
      <c r="N141" s="126">
        <f t="shared" si="40"/>
        <v>0.66666666666666663</v>
      </c>
      <c r="O141" s="47"/>
      <c r="P141" s="47"/>
    </row>
    <row r="142" spans="2:16" x14ac:dyDescent="0.2">
      <c r="B142" s="84" t="s">
        <v>156</v>
      </c>
      <c r="C142" s="126">
        <f>+C140</f>
        <v>0</v>
      </c>
      <c r="D142" s="126">
        <f t="shared" ref="D142:N142" si="41">+D140</f>
        <v>0</v>
      </c>
      <c r="E142" s="126">
        <f t="shared" si="41"/>
        <v>0.33333333333333331</v>
      </c>
      <c r="F142" s="126">
        <f t="shared" si="41"/>
        <v>1</v>
      </c>
      <c r="G142" s="126">
        <f t="shared" si="41"/>
        <v>1</v>
      </c>
      <c r="H142" s="126">
        <f t="shared" si="41"/>
        <v>0.66666666666666663</v>
      </c>
      <c r="I142" s="126">
        <f t="shared" si="41"/>
        <v>0</v>
      </c>
      <c r="J142" s="126">
        <f t="shared" si="41"/>
        <v>0</v>
      </c>
      <c r="K142" s="126">
        <f t="shared" si="41"/>
        <v>0.33333333333333331</v>
      </c>
      <c r="L142" s="126">
        <f t="shared" si="41"/>
        <v>1</v>
      </c>
      <c r="M142" s="126">
        <f t="shared" si="41"/>
        <v>1</v>
      </c>
      <c r="N142" s="126">
        <f t="shared" si="41"/>
        <v>0.66666666666666663</v>
      </c>
      <c r="O142" s="47"/>
      <c r="P142" s="47"/>
    </row>
    <row r="143" spans="2:16" x14ac:dyDescent="0.2">
      <c r="B143" s="74"/>
      <c r="C143" s="70"/>
      <c r="D143" s="70"/>
      <c r="E143" s="70"/>
      <c r="F143" s="70"/>
      <c r="G143" s="70"/>
      <c r="H143" s="70"/>
      <c r="I143" s="70"/>
      <c r="J143" s="70"/>
      <c r="K143" s="70"/>
      <c r="L143" s="70"/>
      <c r="M143" s="70"/>
      <c r="N143" s="70"/>
      <c r="O143" s="47"/>
      <c r="P143" s="47"/>
    </row>
    <row r="144" spans="2:16" x14ac:dyDescent="0.2">
      <c r="B144" s="74"/>
      <c r="C144" s="70"/>
      <c r="D144" s="70"/>
      <c r="E144" s="70"/>
      <c r="F144" s="70"/>
      <c r="G144" s="70"/>
      <c r="H144" s="70"/>
      <c r="I144" s="70"/>
      <c r="J144" s="70"/>
      <c r="K144" s="70"/>
      <c r="L144" s="70"/>
      <c r="M144" s="70"/>
      <c r="N144" s="70"/>
      <c r="O144" s="47"/>
      <c r="P144" s="47"/>
    </row>
    <row r="145" spans="2:16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  <c r="M145" s="70"/>
      <c r="N145" s="70"/>
      <c r="O145" s="47"/>
      <c r="P145" s="47"/>
    </row>
    <row r="146" spans="2:16" ht="25.5" x14ac:dyDescent="0.2">
      <c r="B146" s="76" t="s">
        <v>96</v>
      </c>
      <c r="C146" s="76" t="s">
        <v>83</v>
      </c>
      <c r="D146" s="76" t="s">
        <v>84</v>
      </c>
      <c r="E146" s="76" t="s">
        <v>85</v>
      </c>
      <c r="F146" s="76" t="s">
        <v>86</v>
      </c>
      <c r="G146" s="76" t="s">
        <v>60</v>
      </c>
      <c r="H146" s="76" t="s">
        <v>87</v>
      </c>
      <c r="I146" s="76" t="s">
        <v>88</v>
      </c>
      <c r="J146" s="76" t="s">
        <v>89</v>
      </c>
      <c r="K146" s="76" t="s">
        <v>90</v>
      </c>
      <c r="L146" s="76" t="s">
        <v>91</v>
      </c>
      <c r="M146" s="76" t="s">
        <v>92</v>
      </c>
      <c r="N146" s="76" t="s">
        <v>93</v>
      </c>
      <c r="O146" s="47"/>
      <c r="P146" s="47"/>
    </row>
    <row r="147" spans="2:16" x14ac:dyDescent="0.2">
      <c r="B147" s="75">
        <f t="shared" ref="B147:B156" si="42">+B131</f>
        <v>2013</v>
      </c>
      <c r="C147" s="82">
        <f>SUMIF(Inputs!$A:$A,Summaries!$B147&amp;C$42,Inputs!$I:$I)</f>
        <v>352</v>
      </c>
      <c r="D147" s="82">
        <f>SUMIF(Inputs!$A:$A,Summaries!$B147&amp;D$42,Inputs!$I:$I)</f>
        <v>304</v>
      </c>
      <c r="E147" s="82">
        <f>SUMIF(Inputs!$A:$A,Summaries!$B147&amp;E$42,Inputs!$I:$I)</f>
        <v>320</v>
      </c>
      <c r="F147" s="82">
        <f>SUMIF(Inputs!$A:$A,Summaries!$B147&amp;F$42,Inputs!$I:$I)</f>
        <v>352</v>
      </c>
      <c r="G147" s="82">
        <f>SUMIF(Inputs!$A:$A,Summaries!$B147&amp;G$42,Inputs!$I:$I)</f>
        <v>352</v>
      </c>
      <c r="H147" s="82">
        <f>SUMIF(Inputs!$A:$A,Summaries!$B147&amp;H$42,Inputs!$I:$I)</f>
        <v>320</v>
      </c>
      <c r="I147" s="82">
        <f>SUMIF(Inputs!$A:$A,Summaries!$B147&amp;I$42,Inputs!$I:$I)</f>
        <v>352</v>
      </c>
      <c r="J147" s="82">
        <f>SUMIF(Inputs!$A:$A,Summaries!$B147&amp;J$42,Inputs!$I:$I)</f>
        <v>352</v>
      </c>
      <c r="K147" s="82">
        <f>SUMIF(Inputs!$A:$A,Summaries!$B147&amp;K$42,Inputs!$I:$I)</f>
        <v>320</v>
      </c>
      <c r="L147" s="82">
        <f>SUMIF(Inputs!$A:$A,Summaries!$B147&amp;L$42,Inputs!$I:$I)</f>
        <v>352</v>
      </c>
      <c r="M147" s="82">
        <f>SUMIF(Inputs!$A:$A,Summaries!$B147&amp;M$42,Inputs!$I:$I)</f>
        <v>336</v>
      </c>
      <c r="N147" s="82">
        <f>SUMIF(Inputs!$A:$A,Summaries!$B147&amp;N$42,Inputs!$I:$I)</f>
        <v>320</v>
      </c>
      <c r="O147" s="47"/>
      <c r="P147" s="47"/>
    </row>
    <row r="148" spans="2:16" x14ac:dyDescent="0.2">
      <c r="B148" s="75">
        <f t="shared" si="42"/>
        <v>2014</v>
      </c>
      <c r="C148" s="82">
        <f>SUMIF(Inputs!$A:$A,Summaries!$B148&amp;C$42,Inputs!$I:$I)</f>
        <v>352</v>
      </c>
      <c r="D148" s="82">
        <f>SUMIF(Inputs!$A:$A,Summaries!$B148&amp;D$42,Inputs!$I:$I)</f>
        <v>304</v>
      </c>
      <c r="E148" s="82">
        <f>SUMIF(Inputs!$A:$A,Summaries!$B148&amp;E$42,Inputs!$I:$I)</f>
        <v>336</v>
      </c>
      <c r="F148" s="82">
        <f>SUMIF(Inputs!$A:$A,Summaries!$B148&amp;F$42,Inputs!$I:$I)</f>
        <v>336</v>
      </c>
      <c r="G148" s="82">
        <f>SUMIF(Inputs!$A:$A,Summaries!$B148&amp;G$42,Inputs!$I:$I)</f>
        <v>336</v>
      </c>
      <c r="H148" s="82">
        <f>SUMIF(Inputs!$A:$A,Summaries!$B148&amp;H$42,Inputs!$I:$I)</f>
        <v>336</v>
      </c>
      <c r="I148" s="82">
        <f>SUMIF(Inputs!$A:$A,Summaries!$B148&amp;I$42,Inputs!$I:$I)</f>
        <v>352</v>
      </c>
      <c r="J148" s="82">
        <f>SUMIF(Inputs!$A:$A,Summaries!$B148&amp;J$42,Inputs!$I:$I)</f>
        <v>336</v>
      </c>
      <c r="K148" s="82">
        <f>SUMIF(Inputs!$A:$A,Summaries!$B148&amp;K$42,Inputs!$I:$I)</f>
        <v>336</v>
      </c>
      <c r="L148" s="82">
        <f>SUMIF(Inputs!$A:$A,Summaries!$B148&amp;L$42,Inputs!$I:$I)</f>
        <v>352</v>
      </c>
      <c r="M148" s="82">
        <f>SUMIF(Inputs!$A:$A,Summaries!$B148&amp;M$42,Inputs!$I:$I)</f>
        <v>320</v>
      </c>
      <c r="N148" s="82">
        <f>SUMIF(Inputs!$A:$A,Summaries!$B148&amp;N$42,Inputs!$I:$I)</f>
        <v>336</v>
      </c>
      <c r="O148" s="47"/>
      <c r="P148" s="47"/>
    </row>
    <row r="149" spans="2:16" x14ac:dyDescent="0.2">
      <c r="B149" s="75">
        <f t="shared" si="42"/>
        <v>2015</v>
      </c>
      <c r="C149" s="82">
        <f>SUMIF(Inputs!$A:$A,Summaries!$B149&amp;C$42,Inputs!$I:$I)</f>
        <v>336</v>
      </c>
      <c r="D149" s="82">
        <f>SUMIF(Inputs!$A:$A,Summaries!$B149&amp;D$42,Inputs!$I:$I)</f>
        <v>304</v>
      </c>
      <c r="E149" s="82">
        <f>SUMIF(Inputs!$A:$A,Summaries!$B149&amp;E$42,Inputs!$I:$I)</f>
        <v>352</v>
      </c>
      <c r="F149" s="82">
        <f>SUMIF(Inputs!$A:$A,Summaries!$B149&amp;F$42,Inputs!$I:$I)</f>
        <v>336</v>
      </c>
      <c r="G149" s="82">
        <f>SUMIF(Inputs!$A:$A,Summaries!$B149&amp;G$42,Inputs!$I:$I)</f>
        <v>320</v>
      </c>
      <c r="H149" s="82">
        <f>SUMIF(Inputs!$A:$A,Summaries!$B149&amp;H$42,Inputs!$I:$I)</f>
        <v>352</v>
      </c>
      <c r="I149" s="82">
        <f>SUMIF(Inputs!$A:$A,Summaries!$B149&amp;I$42,Inputs!$I:$I)</f>
        <v>352</v>
      </c>
      <c r="J149" s="82">
        <f>SUMIF(Inputs!$A:$A,Summaries!$B149&amp;J$42,Inputs!$I:$I)</f>
        <v>336</v>
      </c>
      <c r="K149" s="82">
        <f>SUMIF(Inputs!$A:$A,Summaries!$B149&amp;K$42,Inputs!$I:$I)</f>
        <v>336</v>
      </c>
      <c r="L149" s="82">
        <f>SUMIF(Inputs!$A:$A,Summaries!$B149&amp;L$42,Inputs!$I:$I)</f>
        <v>336</v>
      </c>
      <c r="M149" s="82">
        <f>SUMIF(Inputs!$A:$A,Summaries!$B149&amp;M$42,Inputs!$I:$I)</f>
        <v>336</v>
      </c>
      <c r="N149" s="82">
        <f>SUMIF(Inputs!$A:$A,Summaries!$B149&amp;N$42,Inputs!$I:$I)</f>
        <v>336</v>
      </c>
      <c r="O149" s="47"/>
      <c r="P149" s="47"/>
    </row>
    <row r="150" spans="2:16" x14ac:dyDescent="0.2">
      <c r="B150" s="75">
        <f t="shared" si="42"/>
        <v>2016</v>
      </c>
      <c r="C150" s="82">
        <f>SUMIF(Inputs!$A:$A,Summaries!$B150&amp;C$42,Inputs!$I:$I)</f>
        <v>320</v>
      </c>
      <c r="D150" s="82">
        <f>SUMIF(Inputs!$A:$A,Summaries!$B150&amp;D$42,Inputs!$I:$I)</f>
        <v>320</v>
      </c>
      <c r="E150" s="82">
        <f>SUMIF(Inputs!$A:$A,Summaries!$B150&amp;E$42,Inputs!$I:$I)</f>
        <v>352</v>
      </c>
      <c r="F150" s="82">
        <f>SUMIF(Inputs!$A:$A,Summaries!$B150&amp;F$42,Inputs!$I:$I)</f>
        <v>336</v>
      </c>
      <c r="G150" s="82">
        <f>SUMIF(Inputs!$A:$A,Summaries!$B150&amp;G$42,Inputs!$I:$I)</f>
        <v>336</v>
      </c>
      <c r="H150" s="82">
        <f>SUMIF(Inputs!$A:$A,Summaries!$B150&amp;H$42,Inputs!$I:$I)</f>
        <v>352</v>
      </c>
      <c r="I150" s="82">
        <f>SUMIF(Inputs!$A:$A,Summaries!$B150&amp;I$42,Inputs!$I:$I)</f>
        <v>320</v>
      </c>
      <c r="J150" s="82">
        <f>SUMIF(Inputs!$A:$A,Summaries!$B150&amp;J$42,Inputs!$I:$I)</f>
        <v>368</v>
      </c>
      <c r="K150" s="82">
        <f>SUMIF(Inputs!$A:$A,Summaries!$B150&amp;K$42,Inputs!$I:$I)</f>
        <v>336</v>
      </c>
      <c r="L150" s="82">
        <f>SUMIF(Inputs!$A:$A,Summaries!$B150&amp;L$42,Inputs!$I:$I)</f>
        <v>320</v>
      </c>
      <c r="M150" s="82">
        <f>SUMIF(Inputs!$A:$A,Summaries!$B150&amp;M$42,Inputs!$I:$I)</f>
        <v>352</v>
      </c>
      <c r="N150" s="82">
        <f>SUMIF(Inputs!$A:$A,Summaries!$B150&amp;N$42,Inputs!$I:$I)</f>
        <v>320</v>
      </c>
      <c r="O150" s="47"/>
      <c r="P150" s="47"/>
    </row>
    <row r="151" spans="2:16" x14ac:dyDescent="0.2">
      <c r="B151" s="75">
        <f t="shared" si="42"/>
        <v>2017</v>
      </c>
      <c r="C151" s="82">
        <f>SUMIF(Inputs!$A:$A,Summaries!$B151&amp;C$42,Inputs!$I:$I)</f>
        <v>336</v>
      </c>
      <c r="D151" s="82">
        <f>SUMIF(Inputs!$A:$A,Summaries!$B151&amp;D$42,Inputs!$I:$I)</f>
        <v>304</v>
      </c>
      <c r="E151" s="82">
        <f>SUMIF(Inputs!$A:$A,Summaries!$B151&amp;E$42,Inputs!$I:$I)</f>
        <v>368</v>
      </c>
      <c r="F151" s="82">
        <f>SUMIF(Inputs!$A:$A,Summaries!$B151&amp;F$42,Inputs!$I:$I)</f>
        <v>304</v>
      </c>
      <c r="G151" s="82">
        <f>SUMIF(Inputs!$A:$A,Summaries!$B151&amp;G$42,Inputs!$I:$I)</f>
        <v>352</v>
      </c>
      <c r="H151" s="82">
        <f>SUMIF(Inputs!$A:$A,Summaries!$B151&amp;H$42,Inputs!$I:$I)</f>
        <v>352</v>
      </c>
      <c r="I151" s="82">
        <f>SUMIF(Inputs!$A:$A,Summaries!$B151&amp;I$42,Inputs!$I:$I)</f>
        <v>320</v>
      </c>
      <c r="J151" s="82">
        <f>SUMIF(Inputs!$A:$A,Summaries!$B151&amp;J$42,Inputs!$I:$I)</f>
        <v>368</v>
      </c>
      <c r="K151" s="82">
        <f>SUMIF(Inputs!$A:$A,Summaries!$B151&amp;K$42,Inputs!$I:$I)</f>
        <v>320</v>
      </c>
      <c r="L151" s="82">
        <f>SUMIF(Inputs!$A:$A,Summaries!$B151&amp;L$42,Inputs!$I:$I)</f>
        <v>336</v>
      </c>
      <c r="M151" s="82">
        <f>SUMIF(Inputs!$A:$A,Summaries!$B151&amp;M$42,Inputs!$I:$I)</f>
        <v>352</v>
      </c>
      <c r="N151" s="82">
        <f>SUMIF(Inputs!$A:$A,Summaries!$B151&amp;N$42,Inputs!$I:$I)</f>
        <v>304</v>
      </c>
      <c r="O151" s="47"/>
      <c r="P151" s="47"/>
    </row>
    <row r="152" spans="2:16" x14ac:dyDescent="0.2">
      <c r="B152" s="75">
        <f t="shared" si="42"/>
        <v>2018</v>
      </c>
      <c r="C152" s="82">
        <f>SUMIF(Inputs!$A:$A,Summaries!$B152&amp;C$42,Inputs!$I:$I)</f>
        <v>352</v>
      </c>
      <c r="D152" s="82">
        <f>SUMIF(Inputs!$A:$A,Summaries!$B152&amp;D$42,Inputs!$I:$I)</f>
        <v>304</v>
      </c>
      <c r="E152" s="82">
        <f>SUMIF(Inputs!$A:$A,Summaries!$B152&amp;E$42,Inputs!$I:$I)</f>
        <v>336</v>
      </c>
      <c r="F152" s="82">
        <f>SUMIF(Inputs!$A:$A,Summaries!$B152&amp;F$42,Inputs!$I:$I)</f>
        <v>336</v>
      </c>
      <c r="G152" s="82">
        <f>SUMIF(Inputs!$A:$A,Summaries!$B152&amp;G$42,Inputs!$I:$I)</f>
        <v>352</v>
      </c>
      <c r="H152" s="82">
        <f>SUMIF(Inputs!$A:$A,Summaries!$B152&amp;H$42,Inputs!$I:$I)</f>
        <v>336</v>
      </c>
      <c r="I152" s="82">
        <f>SUMIF(Inputs!$A:$A,Summaries!$B152&amp;I$42,Inputs!$I:$I)</f>
        <v>336</v>
      </c>
      <c r="J152" s="82">
        <f>SUMIF(Inputs!$A:$A,Summaries!$B152&amp;J$42,Inputs!$I:$I)</f>
        <v>368</v>
      </c>
      <c r="K152" s="82">
        <f>SUMIF(Inputs!$A:$A,Summaries!$B152&amp;K$42,Inputs!$I:$I)</f>
        <v>304</v>
      </c>
      <c r="L152" s="82">
        <f>SUMIF(Inputs!$A:$A,Summaries!$B152&amp;L$42,Inputs!$I:$I)</f>
        <v>352</v>
      </c>
      <c r="M152" s="82">
        <f>SUMIF(Inputs!$A:$A,Summaries!$B152&amp;M$42,Inputs!$I:$I)</f>
        <v>352</v>
      </c>
      <c r="N152" s="82">
        <f>SUMIF(Inputs!$A:$A,Summaries!$B152&amp;N$42,Inputs!$I:$I)</f>
        <v>304</v>
      </c>
      <c r="O152" s="47"/>
      <c r="P152" s="47"/>
    </row>
    <row r="153" spans="2:16" x14ac:dyDescent="0.2">
      <c r="B153" s="75">
        <f t="shared" si="42"/>
        <v>2019</v>
      </c>
      <c r="C153" s="82">
        <f>SUMIF(Inputs!$A:$A,Summaries!$B153&amp;C$42,Inputs!$I:$I)</f>
        <v>352</v>
      </c>
      <c r="D153" s="82">
        <f>SUMIF(Inputs!$A:$A,Summaries!$B153&amp;D$42,Inputs!$I:$I)</f>
        <v>304</v>
      </c>
      <c r="E153" s="82">
        <f>SUMIF(Inputs!$A:$A,Summaries!$B153&amp;E$42,Inputs!$I:$I)</f>
        <v>336</v>
      </c>
      <c r="F153" s="82">
        <f>SUMIF(Inputs!$A:$A,Summaries!$B153&amp;F$42,Inputs!$I:$I)</f>
        <v>336</v>
      </c>
      <c r="G153" s="82">
        <f>SUMIF(Inputs!$A:$A,Summaries!$B153&amp;G$42,Inputs!$I:$I)</f>
        <v>352</v>
      </c>
      <c r="H153" s="82">
        <f>SUMIF(Inputs!$A:$A,Summaries!$B153&amp;H$42,Inputs!$I:$I)</f>
        <v>320</v>
      </c>
      <c r="I153" s="82">
        <f>SUMIF(Inputs!$A:$A,Summaries!$B153&amp;I$42,Inputs!$I:$I)</f>
        <v>352</v>
      </c>
      <c r="J153" s="82">
        <f>SUMIF(Inputs!$A:$A,Summaries!$B153&amp;J$42,Inputs!$I:$I)</f>
        <v>352</v>
      </c>
      <c r="K153" s="82">
        <f>SUMIF(Inputs!$A:$A,Summaries!$B153&amp;K$42,Inputs!$I:$I)</f>
        <v>320</v>
      </c>
      <c r="L153" s="82">
        <f>SUMIF(Inputs!$A:$A,Summaries!$B153&amp;L$42,Inputs!$I:$I)</f>
        <v>352</v>
      </c>
      <c r="M153" s="82">
        <f>SUMIF(Inputs!$A:$A,Summaries!$B153&amp;M$42,Inputs!$I:$I)</f>
        <v>336</v>
      </c>
      <c r="N153" s="82">
        <f>SUMIF(Inputs!$A:$A,Summaries!$B153&amp;N$42,Inputs!$I:$I)</f>
        <v>320</v>
      </c>
      <c r="O153" s="47"/>
      <c r="P153" s="47"/>
    </row>
    <row r="154" spans="2:16" x14ac:dyDescent="0.2">
      <c r="B154" s="75">
        <f t="shared" si="42"/>
        <v>2020</v>
      </c>
      <c r="C154" s="82">
        <f>SUMIF(Inputs!$A:$A,Summaries!$B154&amp;C$42,Inputs!$I:$I)</f>
        <v>352</v>
      </c>
      <c r="D154" s="82">
        <f>SUMIF(Inputs!$A:$A,Summaries!$B154&amp;D$42,Inputs!$I:$I)</f>
        <v>304</v>
      </c>
      <c r="E154" s="82">
        <f>SUMIF(Inputs!$A:$A,Summaries!$B154&amp;E$42,Inputs!$I:$I)</f>
        <v>352</v>
      </c>
      <c r="F154" s="82">
        <f>SUMIF(Inputs!$A:$A,Summaries!$B154&amp;F$42,Inputs!$I:$I)</f>
        <v>336</v>
      </c>
      <c r="G154" s="82">
        <f>SUMIF(Inputs!$A:$A,Summaries!$B154&amp;G$42,Inputs!$I:$I)</f>
        <v>320</v>
      </c>
      <c r="H154" s="82">
        <f>SUMIF(Inputs!$A:$A,Summaries!$B154&amp;H$42,Inputs!$I:$I)</f>
        <v>352</v>
      </c>
      <c r="I154" s="82">
        <f>SUMIF(Inputs!$A:$A,Summaries!$B154&amp;I$42,Inputs!$I:$I)</f>
        <v>352</v>
      </c>
      <c r="J154" s="82">
        <f>SUMIF(Inputs!$A:$A,Summaries!$B154&amp;J$42,Inputs!$I:$I)</f>
        <v>336</v>
      </c>
      <c r="K154" s="82">
        <f>SUMIF(Inputs!$A:$A,Summaries!$B154&amp;K$42,Inputs!$I:$I)</f>
        <v>336</v>
      </c>
      <c r="L154" s="82">
        <f>SUMIF(Inputs!$A:$A,Summaries!$B154&amp;L$42,Inputs!$I:$I)</f>
        <v>336</v>
      </c>
      <c r="M154" s="82">
        <f>SUMIF(Inputs!$A:$A,Summaries!$B154&amp;M$42,Inputs!$I:$I)</f>
        <v>336</v>
      </c>
      <c r="N154" s="82">
        <f>SUMIF(Inputs!$A:$A,Summaries!$B154&amp;N$42,Inputs!$I:$I)</f>
        <v>336</v>
      </c>
      <c r="O154" s="47"/>
      <c r="P154" s="47"/>
    </row>
    <row r="155" spans="2:16" x14ac:dyDescent="0.2">
      <c r="B155" s="75">
        <f t="shared" si="42"/>
        <v>2021</v>
      </c>
      <c r="C155" s="82">
        <f>SUMIF(Inputs!$A:$A,Summaries!$B155&amp;C$42,Inputs!$I:$I)</f>
        <v>320</v>
      </c>
      <c r="D155" s="82">
        <f>SUMIF(Inputs!$A:$A,Summaries!$B155&amp;D$42,Inputs!$I:$I)</f>
        <v>304</v>
      </c>
      <c r="E155" s="82">
        <f>SUMIF(Inputs!$A:$A,Summaries!$B155&amp;E$42,Inputs!$I:$I)</f>
        <v>368</v>
      </c>
      <c r="F155" s="82">
        <f>SUMIF(Inputs!$A:$A,Summaries!$B155&amp;F$42,Inputs!$I:$I)</f>
        <v>336</v>
      </c>
      <c r="G155" s="82">
        <f>SUMIF(Inputs!$A:$A,Summaries!$B155&amp;G$42,Inputs!$I:$I)</f>
        <v>320</v>
      </c>
      <c r="H155" s="82">
        <f>SUMIF(Inputs!$A:$A,Summaries!$B155&amp;H$42,Inputs!$I:$I)</f>
        <v>352</v>
      </c>
      <c r="I155" s="82">
        <f>SUMIF(Inputs!$A:$A,Summaries!$B155&amp;I$42,Inputs!$I:$I)</f>
        <v>336</v>
      </c>
      <c r="J155" s="82">
        <f>SUMIF(Inputs!$A:$A,Summaries!$B155&amp;J$42,Inputs!$I:$I)</f>
        <v>352</v>
      </c>
      <c r="K155" s="82">
        <f>SUMIF(Inputs!$A:$A,Summaries!$B155&amp;K$42,Inputs!$I:$I)</f>
        <v>336</v>
      </c>
      <c r="L155" s="82">
        <f>SUMIF(Inputs!$A:$A,Summaries!$B155&amp;L$42,Inputs!$I:$I)</f>
        <v>320</v>
      </c>
      <c r="M155" s="82">
        <f>SUMIF(Inputs!$A:$A,Summaries!$B155&amp;M$42,Inputs!$I:$I)</f>
        <v>352</v>
      </c>
      <c r="N155" s="82">
        <f>SUMIF(Inputs!$A:$A,Summaries!$B155&amp;N$42,Inputs!$I:$I)</f>
        <v>336</v>
      </c>
      <c r="O155" s="47"/>
      <c r="P155" s="47"/>
    </row>
    <row r="156" spans="2:16" x14ac:dyDescent="0.2">
      <c r="B156" s="75">
        <f t="shared" si="42"/>
        <v>2022</v>
      </c>
      <c r="C156" s="82">
        <f>SUMIF(Inputs!$A:$A,Summaries!$B156&amp;C$42,Inputs!$I:$I)</f>
        <v>320</v>
      </c>
      <c r="D156" s="82">
        <f>SUMIF(Inputs!$A:$A,Summaries!$B156&amp;D$42,Inputs!$I:$I)</f>
        <v>304</v>
      </c>
      <c r="E156" s="82">
        <f>SUMIF(Inputs!$A:$A,Summaries!$B156&amp;E$42,Inputs!$I:$I)</f>
        <v>368</v>
      </c>
      <c r="F156" s="82">
        <f>SUMIF(Inputs!$A:$A,Summaries!$B156&amp;F$42,Inputs!$I:$I)</f>
        <v>320</v>
      </c>
      <c r="G156" s="82">
        <f>SUMIF(Inputs!$A:$A,Summaries!$B156&amp;G$42,Inputs!$I:$I)</f>
        <v>336</v>
      </c>
      <c r="H156" s="82">
        <f>SUMIF(Inputs!$A:$A,Summaries!$B156&amp;H$42,Inputs!$I:$I)</f>
        <v>352</v>
      </c>
      <c r="I156" s="82">
        <f>SUMIF(Inputs!$A:$A,Summaries!$B156&amp;I$42,Inputs!$I:$I)</f>
        <v>320</v>
      </c>
      <c r="J156" s="82">
        <f>SUMIF(Inputs!$A:$A,Summaries!$B156&amp;J$42,Inputs!$I:$I)</f>
        <v>368</v>
      </c>
      <c r="K156" s="82">
        <f>SUMIF(Inputs!$A:$A,Summaries!$B156&amp;K$42,Inputs!$I:$I)</f>
        <v>336</v>
      </c>
      <c r="L156" s="82">
        <f>SUMIF(Inputs!$A:$A,Summaries!$B156&amp;L$42,Inputs!$I:$I)</f>
        <v>320</v>
      </c>
      <c r="M156" s="82">
        <f>SUMIF(Inputs!$A:$A,Summaries!$B156&amp;M$42,Inputs!$I:$I)</f>
        <v>352</v>
      </c>
      <c r="N156" s="82">
        <f>SUMIF(Inputs!$A:$A,Summaries!$B156&amp;N$42,Inputs!$I:$I)</f>
        <v>320</v>
      </c>
      <c r="O156" s="77"/>
      <c r="P156" s="47"/>
    </row>
    <row r="157" spans="2:16" x14ac:dyDescent="0.2">
      <c r="B157" s="84" t="s">
        <v>155</v>
      </c>
      <c r="C157" s="86">
        <v>336</v>
      </c>
      <c r="D157" s="86">
        <v>304</v>
      </c>
      <c r="E157" s="86">
        <v>368</v>
      </c>
      <c r="F157" s="86">
        <v>304</v>
      </c>
      <c r="G157" s="86">
        <v>352</v>
      </c>
      <c r="H157" s="86">
        <v>352</v>
      </c>
      <c r="I157" s="86">
        <v>320</v>
      </c>
      <c r="J157" s="86">
        <v>368</v>
      </c>
      <c r="K157" s="86">
        <v>320</v>
      </c>
      <c r="L157" s="86">
        <v>336</v>
      </c>
      <c r="M157" s="86">
        <v>352</v>
      </c>
      <c r="N157" s="86">
        <v>304</v>
      </c>
      <c r="O157" s="47"/>
      <c r="P157" s="47"/>
    </row>
    <row r="158" spans="2:16" x14ac:dyDescent="0.2">
      <c r="B158" s="84" t="s">
        <v>156</v>
      </c>
      <c r="C158" s="86">
        <v>352</v>
      </c>
      <c r="D158" s="86">
        <v>320</v>
      </c>
      <c r="E158" s="86">
        <v>320</v>
      </c>
      <c r="F158" s="86">
        <v>352</v>
      </c>
      <c r="G158" s="86">
        <v>352</v>
      </c>
      <c r="H158" s="86">
        <v>320</v>
      </c>
      <c r="I158" s="86">
        <v>352</v>
      </c>
      <c r="J158" s="86">
        <v>352</v>
      </c>
      <c r="K158" s="86">
        <v>320</v>
      </c>
      <c r="L158" s="86">
        <v>352</v>
      </c>
      <c r="M158" s="86">
        <v>336</v>
      </c>
      <c r="N158" s="86">
        <v>320</v>
      </c>
      <c r="O158" s="47"/>
      <c r="P158" s="47"/>
    </row>
    <row r="159" spans="2:16" x14ac:dyDescent="0.2">
      <c r="B159" s="70"/>
      <c r="C159" s="70"/>
      <c r="D159" s="70"/>
      <c r="E159" s="70"/>
      <c r="F159" s="70"/>
      <c r="G159" s="70"/>
      <c r="H159" s="70"/>
      <c r="I159" s="70"/>
      <c r="J159" s="70"/>
      <c r="K159" s="70"/>
      <c r="L159" s="70"/>
      <c r="M159" s="70"/>
      <c r="N159" s="70"/>
      <c r="O159" s="47"/>
      <c r="P159" s="47"/>
    </row>
    <row r="160" spans="2:16" x14ac:dyDescent="0.2">
      <c r="B160" s="70"/>
      <c r="C160" s="70"/>
      <c r="D160" s="70"/>
      <c r="E160" s="70"/>
      <c r="F160" s="70"/>
      <c r="G160" s="70"/>
      <c r="H160" s="70"/>
      <c r="I160" s="70"/>
      <c r="J160" s="70"/>
      <c r="K160" s="70"/>
      <c r="L160" s="70"/>
      <c r="M160" s="70"/>
      <c r="N160" s="70"/>
      <c r="O160" s="47"/>
      <c r="P160" s="47"/>
    </row>
    <row r="161" spans="2:16" ht="24" customHeight="1" x14ac:dyDescent="0.2">
      <c r="B161" s="76" t="s">
        <v>137</v>
      </c>
      <c r="C161" s="76" t="s">
        <v>83</v>
      </c>
      <c r="D161" s="76" t="s">
        <v>84</v>
      </c>
      <c r="E161" s="76" t="s">
        <v>85</v>
      </c>
      <c r="F161" s="76" t="s">
        <v>86</v>
      </c>
      <c r="G161" s="76" t="s">
        <v>60</v>
      </c>
      <c r="H161" s="76" t="s">
        <v>87</v>
      </c>
      <c r="I161" s="76" t="s">
        <v>88</v>
      </c>
      <c r="J161" s="76" t="s">
        <v>89</v>
      </c>
      <c r="K161" s="76" t="s">
        <v>90</v>
      </c>
      <c r="L161" s="76" t="s">
        <v>91</v>
      </c>
      <c r="M161" s="76" t="s">
        <v>92</v>
      </c>
      <c r="N161" s="76" t="s">
        <v>93</v>
      </c>
      <c r="O161" s="47"/>
      <c r="P161" s="47"/>
    </row>
    <row r="162" spans="2:16" x14ac:dyDescent="0.2">
      <c r="B162" s="75">
        <f t="shared" ref="B162:B170" si="43">+B101</f>
        <v>2014</v>
      </c>
      <c r="C162" s="82">
        <f>SUMIF(Inputs!$A:$A,Summaries!$B162&amp;C$42,Inputs!$L:$L)</f>
        <v>11531</v>
      </c>
      <c r="D162" s="82">
        <f>SUMIF(Inputs!$A:$A,Summaries!$B162&amp;D$42,Inputs!$L:$L)</f>
        <v>11558</v>
      </c>
      <c r="E162" s="82">
        <f>SUMIF(Inputs!$A:$A,Summaries!$B162&amp;E$42,Inputs!$L:$L)</f>
        <v>11569</v>
      </c>
      <c r="F162" s="82">
        <f>SUMIF(Inputs!$A:$A,Summaries!$B162&amp;F$42,Inputs!$L:$L)</f>
        <v>11580</v>
      </c>
      <c r="G162" s="82">
        <f>SUMIF(Inputs!$A:$A,Summaries!$B162&amp;G$42,Inputs!$L:$L)</f>
        <v>11597</v>
      </c>
      <c r="H162" s="82">
        <f>SUMIF(Inputs!$A:$A,Summaries!$B162&amp;H$42,Inputs!$L:$L)</f>
        <v>11603</v>
      </c>
      <c r="I162" s="82">
        <f>SUMIF(Inputs!$A:$A,Summaries!$B162&amp;I$42,Inputs!$L:$L)</f>
        <v>11623</v>
      </c>
      <c r="J162" s="82">
        <f>SUMIF(Inputs!$A:$A,Summaries!$B162&amp;J$42,Inputs!$L:$L)</f>
        <v>11640</v>
      </c>
      <c r="K162" s="82">
        <f>SUMIF(Inputs!$A:$A,Summaries!$B162&amp;K$42,Inputs!$L:$L)</f>
        <v>11655</v>
      </c>
      <c r="L162" s="82">
        <f>SUMIF(Inputs!$A:$A,Summaries!$B162&amp;L$42,Inputs!$L:$L)</f>
        <v>11666</v>
      </c>
      <c r="M162" s="82">
        <f>SUMIF(Inputs!$A:$A,Summaries!$B162&amp;M$42,Inputs!$L:$L)</f>
        <v>11669</v>
      </c>
      <c r="N162" s="82">
        <f>SUMIF(Inputs!$A:$A,Summaries!$B162&amp;N$42,Inputs!$L:$L)</f>
        <v>11685</v>
      </c>
      <c r="O162" s="47"/>
      <c r="P162" s="47"/>
    </row>
    <row r="163" spans="2:16" x14ac:dyDescent="0.2">
      <c r="B163" s="75">
        <f t="shared" si="43"/>
        <v>2015</v>
      </c>
      <c r="C163" s="82">
        <f>SUMIF(Inputs!$A:$A,Summaries!$B163&amp;C$42,Inputs!$L:$L)</f>
        <v>11706</v>
      </c>
      <c r="D163" s="82">
        <f>SUMIF(Inputs!$A:$A,Summaries!$B163&amp;D$42,Inputs!$L:$L)</f>
        <v>11720</v>
      </c>
      <c r="E163" s="82">
        <f>SUMIF(Inputs!$A:$A,Summaries!$B163&amp;E$42,Inputs!$L:$L)</f>
        <v>11736</v>
      </c>
      <c r="F163" s="82">
        <f>SUMIF(Inputs!$A:$A,Summaries!$B163&amp;F$42,Inputs!$L:$L)</f>
        <v>11746</v>
      </c>
      <c r="G163" s="82">
        <f>SUMIF(Inputs!$A:$A,Summaries!$B163&amp;G$42,Inputs!$L:$L)</f>
        <v>11765</v>
      </c>
      <c r="H163" s="82">
        <f>SUMIF(Inputs!$A:$A,Summaries!$B163&amp;H$42,Inputs!$L:$L)</f>
        <v>11773</v>
      </c>
      <c r="I163" s="82">
        <f>SUMIF(Inputs!$A:$A,Summaries!$B163&amp;I$42,Inputs!$L:$L)</f>
        <v>11778</v>
      </c>
      <c r="J163" s="82">
        <f>SUMIF(Inputs!$A:$A,Summaries!$B163&amp;J$42,Inputs!$L:$L)</f>
        <v>11790</v>
      </c>
      <c r="K163" s="82">
        <f>SUMIF(Inputs!$A:$A,Summaries!$B163&amp;K$42,Inputs!$L:$L)</f>
        <v>11800</v>
      </c>
      <c r="L163" s="82">
        <f>SUMIF(Inputs!$A:$A,Summaries!$B163&amp;L$42,Inputs!$L:$L)</f>
        <v>11810</v>
      </c>
      <c r="M163" s="82">
        <f>SUMIF(Inputs!$A:$A,Summaries!$B163&amp;M$42,Inputs!$L:$L)</f>
        <v>11831</v>
      </c>
      <c r="N163" s="82">
        <f>SUMIF(Inputs!$A:$A,Summaries!$B163&amp;N$42,Inputs!$L:$L)</f>
        <v>11840</v>
      </c>
      <c r="O163" s="47"/>
      <c r="P163" s="47"/>
    </row>
    <row r="164" spans="2:16" x14ac:dyDescent="0.2">
      <c r="B164" s="75">
        <f t="shared" si="43"/>
        <v>2016</v>
      </c>
      <c r="C164" s="82">
        <f>SUMIF(Inputs!$A:$A,Summaries!$B164&amp;C$42,Inputs!$L:$L)</f>
        <v>11841</v>
      </c>
      <c r="D164" s="82">
        <f>SUMIF(Inputs!$A:$A,Summaries!$B164&amp;D$42,Inputs!$L:$L)</f>
        <v>11848</v>
      </c>
      <c r="E164" s="82">
        <f>SUMIF(Inputs!$A:$A,Summaries!$B164&amp;E$42,Inputs!$L:$L)</f>
        <v>11856</v>
      </c>
      <c r="F164" s="82">
        <f>SUMIF(Inputs!$A:$A,Summaries!$B164&amp;F$42,Inputs!$L:$L)</f>
        <v>11862</v>
      </c>
      <c r="G164" s="82">
        <f>SUMIF(Inputs!$A:$A,Summaries!$B164&amp;G$42,Inputs!$L:$L)</f>
        <v>11874</v>
      </c>
      <c r="H164" s="82">
        <f>SUMIF(Inputs!$A:$A,Summaries!$B164&amp;H$42,Inputs!$L:$L)</f>
        <v>11879</v>
      </c>
      <c r="I164" s="82">
        <f>SUMIF(Inputs!$A:$A,Summaries!$B164&amp;I$42,Inputs!$L:$L)</f>
        <v>11897</v>
      </c>
      <c r="J164" s="82">
        <f>SUMIF(Inputs!$A:$A,Summaries!$B164&amp;J$42,Inputs!$L:$L)</f>
        <v>11928</v>
      </c>
      <c r="K164" s="82">
        <f>SUMIF(Inputs!$A:$A,Summaries!$B164&amp;K$42,Inputs!$L:$L)</f>
        <v>11935</v>
      </c>
      <c r="L164" s="82">
        <f>SUMIF(Inputs!$A:$A,Summaries!$B164&amp;L$42,Inputs!$L:$L)</f>
        <v>11965</v>
      </c>
      <c r="M164" s="82">
        <f>SUMIF(Inputs!$A:$A,Summaries!$B164&amp;M$42,Inputs!$L:$L)</f>
        <v>11996</v>
      </c>
      <c r="N164" s="82">
        <f>SUMIF(Inputs!$A:$A,Summaries!$B164&amp;N$42,Inputs!$L:$L)</f>
        <v>12004</v>
      </c>
      <c r="O164" s="47"/>
      <c r="P164" s="47"/>
    </row>
    <row r="165" spans="2:16" x14ac:dyDescent="0.2">
      <c r="B165" s="75">
        <f t="shared" si="43"/>
        <v>2017</v>
      </c>
      <c r="C165" s="82">
        <f>SUMIF(Inputs!$A:$A,Summaries!$B165&amp;C$42,Inputs!$L:$L)</f>
        <v>12024</v>
      </c>
      <c r="D165" s="82">
        <f>SUMIF(Inputs!$A:$A,Summaries!$B165&amp;D$42,Inputs!$L:$L)</f>
        <v>12039</v>
      </c>
      <c r="E165" s="82">
        <f>SUMIF(Inputs!$A:$A,Summaries!$B165&amp;E$42,Inputs!$L:$L)</f>
        <v>12077</v>
      </c>
      <c r="F165" s="82">
        <f>SUMIF(Inputs!$A:$A,Summaries!$B165&amp;F$42,Inputs!$L:$L)</f>
        <v>12094</v>
      </c>
      <c r="G165" s="82">
        <f>SUMIF(Inputs!$A:$A,Summaries!$B165&amp;G$42,Inputs!$L:$L)</f>
        <v>12140</v>
      </c>
      <c r="H165" s="82">
        <f>SUMIF(Inputs!$A:$A,Summaries!$B165&amp;H$42,Inputs!$L:$L)</f>
        <v>12176</v>
      </c>
      <c r="I165" s="82">
        <f>SUMIF(Inputs!$A:$A,Summaries!$B165&amp;I$42,Inputs!$L:$L)</f>
        <v>12215</v>
      </c>
      <c r="J165" s="82">
        <f>SUMIF(Inputs!$A:$A,Summaries!$B165&amp;J$42,Inputs!$L:$L)</f>
        <v>12244</v>
      </c>
      <c r="K165" s="82">
        <f>SUMIF(Inputs!$A:$A,Summaries!$B165&amp;K$42,Inputs!$L:$L)</f>
        <v>12278</v>
      </c>
      <c r="L165" s="82">
        <f>SUMIF(Inputs!$A:$A,Summaries!$B165&amp;L$42,Inputs!$L:$L)</f>
        <v>12304</v>
      </c>
      <c r="M165" s="82">
        <f>SUMIF(Inputs!$A:$A,Summaries!$B165&amp;M$42,Inputs!$L:$L)</f>
        <v>12326</v>
      </c>
      <c r="N165" s="82">
        <f>SUMIF(Inputs!$A:$A,Summaries!$B165&amp;N$42,Inputs!$L:$L)</f>
        <v>12365</v>
      </c>
      <c r="O165" s="47"/>
      <c r="P165" s="47"/>
    </row>
    <row r="166" spans="2:16" x14ac:dyDescent="0.2">
      <c r="B166" s="75">
        <f t="shared" si="43"/>
        <v>2018</v>
      </c>
      <c r="C166" s="82">
        <f>SUMIF(Inputs!$A:$A,Summaries!$B166&amp;C$42,Inputs!$L:$L)</f>
        <v>12405</v>
      </c>
      <c r="D166" s="82">
        <f>SUMIF(Inputs!$A:$A,Summaries!$B166&amp;D$42,Inputs!$L:$L)</f>
        <v>12428</v>
      </c>
      <c r="E166" s="82">
        <f>SUMIF(Inputs!$A:$A,Summaries!$B166&amp;E$42,Inputs!$L:$L)</f>
        <v>12449</v>
      </c>
      <c r="F166" s="82">
        <f>SUMIF(Inputs!$A:$A,Summaries!$B166&amp;F$42,Inputs!$L:$L)</f>
        <v>12479</v>
      </c>
      <c r="G166" s="82">
        <f>SUMIF(Inputs!$A:$A,Summaries!$B166&amp;G$42,Inputs!$L:$L)</f>
        <v>12500</v>
      </c>
      <c r="H166" s="82">
        <f>SUMIF(Inputs!$A:$A,Summaries!$B166&amp;H$42,Inputs!$L:$L)</f>
        <v>12506</v>
      </c>
      <c r="I166" s="82">
        <f>SUMIF(Inputs!$A:$A,Summaries!$B166&amp;I$42,Inputs!$L:$L)</f>
        <v>12521</v>
      </c>
      <c r="J166" s="82">
        <f>SUMIF(Inputs!$A:$A,Summaries!$B166&amp;J$42,Inputs!$L:$L)</f>
        <v>12543</v>
      </c>
      <c r="K166" s="82">
        <f>SUMIF(Inputs!$A:$A,Summaries!$B166&amp;K$42,Inputs!$L:$L)</f>
        <v>12558</v>
      </c>
      <c r="L166" s="82">
        <f>SUMIF(Inputs!$A:$A,Summaries!$B166&amp;L$42,Inputs!$L:$L)</f>
        <v>12564</v>
      </c>
      <c r="M166" s="82">
        <f>SUMIF(Inputs!$A:$A,Summaries!$B166&amp;M$42,Inputs!$L:$L)</f>
        <v>12578</v>
      </c>
      <c r="N166" s="82">
        <f>SUMIF(Inputs!$A:$A,Summaries!$B166&amp;N$42,Inputs!$L:$L)</f>
        <v>12583</v>
      </c>
      <c r="O166" s="47"/>
      <c r="P166" s="47"/>
    </row>
    <row r="167" spans="2:16" x14ac:dyDescent="0.2">
      <c r="B167" s="75">
        <f t="shared" si="43"/>
        <v>2019</v>
      </c>
      <c r="C167" s="82">
        <f>SUMIF(Inputs!$A:$A,Summaries!$B167&amp;C$42,Inputs!$L:$L)</f>
        <v>12601</v>
      </c>
      <c r="D167" s="82">
        <f>SUMIF(Inputs!$A:$A,Summaries!$B167&amp;D$42,Inputs!$L:$L)</f>
        <v>12601</v>
      </c>
      <c r="E167" s="82">
        <f>SUMIF(Inputs!$A:$A,Summaries!$B167&amp;E$42,Inputs!$L:$L)</f>
        <v>12603</v>
      </c>
      <c r="F167" s="82">
        <f>SUMIF(Inputs!$A:$A,Summaries!$B167&amp;F$42,Inputs!$L:$L)</f>
        <v>12608</v>
      </c>
      <c r="G167" s="82">
        <f>SUMIF(Inputs!$A:$A,Summaries!$B167&amp;G$42,Inputs!$L:$L)</f>
        <v>12614</v>
      </c>
      <c r="H167" s="82">
        <f>SUMIF(Inputs!$A:$A,Summaries!$B167&amp;H$42,Inputs!$L:$L)</f>
        <v>12635</v>
      </c>
      <c r="I167" s="82">
        <f>SUMIF(Inputs!$A:$A,Summaries!$B167&amp;I$42,Inputs!$L:$L)</f>
        <v>12652</v>
      </c>
      <c r="J167" s="82">
        <f>SUMIF(Inputs!$A:$A,Summaries!$B167&amp;J$42,Inputs!$L:$L)</f>
        <v>12653</v>
      </c>
      <c r="K167" s="82">
        <f>SUMIF(Inputs!$A:$A,Summaries!$B167&amp;K$42,Inputs!$L:$L)</f>
        <v>12655</v>
      </c>
      <c r="L167" s="82">
        <f>SUMIF(Inputs!$A:$A,Summaries!$B167&amp;L$42,Inputs!$L:$L)</f>
        <v>12656</v>
      </c>
      <c r="M167" s="82">
        <f>SUMIF(Inputs!$A:$A,Summaries!$B167&amp;M$42,Inputs!$L:$L)</f>
        <v>12655</v>
      </c>
      <c r="N167" s="82">
        <f>SUMIF(Inputs!$A:$A,Summaries!$B167&amp;N$42,Inputs!$L:$L)</f>
        <v>12655</v>
      </c>
      <c r="O167" s="47"/>
      <c r="P167" s="47"/>
    </row>
    <row r="168" spans="2:16" x14ac:dyDescent="0.2">
      <c r="B168" s="75">
        <f t="shared" si="43"/>
        <v>2020</v>
      </c>
      <c r="C168" s="82">
        <f>SUMIF(Inputs!$A:$A,Summaries!$B168&amp;C$42,Inputs!$L:$L)</f>
        <v>12654</v>
      </c>
      <c r="D168" s="82">
        <f>SUMIF(Inputs!$A:$A,Summaries!$B168&amp;D$42,Inputs!$L:$L)</f>
        <v>12646</v>
      </c>
      <c r="E168" s="82">
        <f>SUMIF(Inputs!$A:$A,Summaries!$B168&amp;E$42,Inputs!$L:$L)</f>
        <v>12646</v>
      </c>
      <c r="F168" s="82">
        <f>SUMIF(Inputs!$A:$A,Summaries!$B168&amp;F$42,Inputs!$L:$L)</f>
        <v>12651</v>
      </c>
      <c r="G168" s="82">
        <f>SUMIF(Inputs!$A:$A,Summaries!$B168&amp;G$42,Inputs!$L:$L)</f>
        <v>12656</v>
      </c>
      <c r="H168" s="82">
        <f>SUMIF(Inputs!$A:$A,Summaries!$B168&amp;H$42,Inputs!$L:$L)</f>
        <v>12660</v>
      </c>
      <c r="I168" s="82">
        <f>SUMIF(Inputs!$A:$A,Summaries!$B168&amp;I$42,Inputs!$L:$L)</f>
        <v>12662</v>
      </c>
      <c r="J168" s="82">
        <f>SUMIF(Inputs!$A:$A,Summaries!$B168&amp;J$42,Inputs!$L:$L)</f>
        <v>12675</v>
      </c>
      <c r="K168" s="82">
        <f>SUMIF(Inputs!$A:$A,Summaries!$B168&amp;K$42,Inputs!$L:$L)</f>
        <v>12686</v>
      </c>
      <c r="L168" s="82">
        <f>SUMIF(Inputs!$A:$A,Summaries!$B168&amp;L$42,Inputs!$L:$L)</f>
        <v>12689</v>
      </c>
      <c r="M168" s="82">
        <f>SUMIF(Inputs!$A:$A,Summaries!$B168&amp;M$42,Inputs!$L:$L)</f>
        <v>12692</v>
      </c>
      <c r="N168" s="82">
        <f>SUMIF(Inputs!$A:$A,Summaries!$B168&amp;N$42,Inputs!$L:$L)</f>
        <v>12697</v>
      </c>
      <c r="O168" s="47"/>
      <c r="P168" s="47"/>
    </row>
    <row r="169" spans="2:16" x14ac:dyDescent="0.2">
      <c r="B169" s="75">
        <f t="shared" si="43"/>
        <v>2021</v>
      </c>
      <c r="C169" s="82">
        <f>SUMIF(Inputs!$A:$A,Summaries!$B169&amp;C$42,Inputs!$L:$L)</f>
        <v>12730</v>
      </c>
      <c r="D169" s="82">
        <f>SUMIF(Inputs!$A:$A,Summaries!$B169&amp;D$42,Inputs!$L:$L)</f>
        <v>12738</v>
      </c>
      <c r="E169" s="82">
        <f>SUMIF(Inputs!$A:$A,Summaries!$B169&amp;E$42,Inputs!$L:$L)</f>
        <v>12742</v>
      </c>
      <c r="F169" s="82">
        <f>SUMIF(Inputs!$A:$A,Summaries!$B169&amp;F$42,Inputs!$L:$L)</f>
        <v>12754</v>
      </c>
      <c r="G169" s="82">
        <f>SUMIF(Inputs!$A:$A,Summaries!$B169&amp;G$42,Inputs!$L:$L)</f>
        <v>12759</v>
      </c>
      <c r="H169" s="82">
        <f>SUMIF(Inputs!$A:$A,Summaries!$B169&amp;H$42,Inputs!$L:$L)</f>
        <v>12760</v>
      </c>
      <c r="I169" s="82">
        <f>SUMIF(Inputs!$A:$A,Summaries!$B169&amp;I$42,Inputs!$L:$L)</f>
        <v>12772</v>
      </c>
      <c r="J169" s="82">
        <f>SUMIF(Inputs!$A:$A,Summaries!$B169&amp;J$42,Inputs!$L:$L)</f>
        <v>12771</v>
      </c>
      <c r="K169" s="82">
        <f>SUMIF(Inputs!$A:$A,Summaries!$B169&amp;K$42,Inputs!$L:$L)</f>
        <v>12780</v>
      </c>
      <c r="L169" s="82">
        <f>SUMIF(Inputs!$A:$A,Summaries!$B169&amp;L$42,Inputs!$L:$L)</f>
        <v>12780</v>
      </c>
      <c r="M169" s="82">
        <f>SUMIF(Inputs!$A:$A,Summaries!$B169&amp;M$42,Inputs!$L:$L)</f>
        <v>12776</v>
      </c>
      <c r="N169" s="82">
        <f>SUMIF(Inputs!$A:$A,Summaries!$B169&amp;N$42,Inputs!$L:$L)</f>
        <v>12774</v>
      </c>
      <c r="O169" s="47"/>
      <c r="P169" s="47"/>
    </row>
    <row r="170" spans="2:16" x14ac:dyDescent="0.2">
      <c r="B170" s="75">
        <f t="shared" si="43"/>
        <v>2022</v>
      </c>
      <c r="C170" s="82">
        <f>SUMIF(Inputs!$A:$A,Summaries!$B170&amp;C$42,Inputs!$L:$L)</f>
        <v>12781</v>
      </c>
      <c r="D170" s="82">
        <f>SUMIF(Inputs!$A:$A,Summaries!$B170&amp;D$42,Inputs!$L:$L)</f>
        <v>12784</v>
      </c>
      <c r="E170" s="82">
        <f>SUMIF(Inputs!$A:$A,Summaries!$B170&amp;E$42,Inputs!$L:$L)</f>
        <v>12795</v>
      </c>
      <c r="F170" s="82">
        <f>SUMIF(Inputs!$A:$A,Summaries!$B170&amp;F$42,Inputs!$L:$L)</f>
        <v>12798</v>
      </c>
      <c r="G170" s="82">
        <f>SUMIF(Inputs!$A:$A,Summaries!$B170&amp;G$42,Inputs!$L:$L)</f>
        <v>12809</v>
      </c>
      <c r="H170" s="82">
        <f>SUMIF(Inputs!$A:$A,Summaries!$B170&amp;H$42,Inputs!$L:$L)</f>
        <v>12821</v>
      </c>
      <c r="I170" s="82">
        <f>SUMIF(Inputs!$A:$A,Summaries!$B170&amp;I$42,Inputs!$L:$L)</f>
        <v>12828</v>
      </c>
      <c r="J170" s="82">
        <f>SUMIF(Inputs!$A:$A,Summaries!$B170&amp;J$42,Inputs!$L:$L)</f>
        <v>12835</v>
      </c>
      <c r="K170" s="82">
        <f>SUMIF(Inputs!$A:$A,Summaries!$B170&amp;K$42,Inputs!$L:$L)</f>
        <v>12839</v>
      </c>
      <c r="L170" s="82">
        <f>SUMIF(Inputs!$A:$A,Summaries!$B170&amp;L$42,Inputs!$L:$L)</f>
        <v>12844</v>
      </c>
      <c r="M170" s="82">
        <f>SUMIF(Inputs!$A:$A,Summaries!$B170&amp;M$42,Inputs!$L:$L)</f>
        <v>12842</v>
      </c>
      <c r="N170" s="82">
        <f>SUMIF(Inputs!$A:$A,Summaries!$B170&amp;N$42,Inputs!$L:$L)</f>
        <v>12846</v>
      </c>
      <c r="O170" s="47"/>
      <c r="P170" s="47"/>
    </row>
    <row r="171" spans="2:16" x14ac:dyDescent="0.2">
      <c r="B171" s="84" t="s">
        <v>99</v>
      </c>
      <c r="C171" s="88">
        <f>AVERAGE(C161:C170)</f>
        <v>12252.555555555555</v>
      </c>
      <c r="D171" s="88">
        <f t="shared" ref="D171:N171" si="44">AVERAGE(D161:D170)</f>
        <v>12262.444444444445</v>
      </c>
      <c r="E171" s="88">
        <f t="shared" si="44"/>
        <v>12274.777777777777</v>
      </c>
      <c r="F171" s="88">
        <f t="shared" si="44"/>
        <v>12285.777777777777</v>
      </c>
      <c r="G171" s="88">
        <f t="shared" si="44"/>
        <v>12301.555555555555</v>
      </c>
      <c r="H171" s="88">
        <f t="shared" si="44"/>
        <v>12312.555555555555</v>
      </c>
      <c r="I171" s="88">
        <f t="shared" si="44"/>
        <v>12327.555555555555</v>
      </c>
      <c r="J171" s="88">
        <f t="shared" si="44"/>
        <v>12342.111111111111</v>
      </c>
      <c r="K171" s="88">
        <f t="shared" si="44"/>
        <v>12354</v>
      </c>
      <c r="L171" s="88">
        <f t="shared" si="44"/>
        <v>12364.222222222223</v>
      </c>
      <c r="M171" s="88">
        <f t="shared" si="44"/>
        <v>12373.888888888889</v>
      </c>
      <c r="N171" s="88">
        <f t="shared" si="44"/>
        <v>12383.222222222223</v>
      </c>
      <c r="O171" s="47"/>
      <c r="P171" s="47"/>
    </row>
    <row r="172" spans="2:16" x14ac:dyDescent="0.2">
      <c r="B172" s="74"/>
      <c r="C172" s="70"/>
      <c r="D172" s="70"/>
      <c r="E172" s="70"/>
      <c r="F172" s="70"/>
      <c r="G172" s="70"/>
      <c r="H172" s="70"/>
      <c r="I172" s="70"/>
      <c r="J172" s="70"/>
      <c r="K172" s="70"/>
      <c r="L172" s="70"/>
      <c r="M172" s="70"/>
      <c r="N172" s="70"/>
      <c r="O172" s="47"/>
      <c r="P172" s="47"/>
    </row>
    <row r="173" spans="2:16" x14ac:dyDescent="0.2">
      <c r="B173" s="74"/>
      <c r="C173" s="70"/>
      <c r="D173" s="70"/>
      <c r="E173" s="70"/>
      <c r="F173" s="70"/>
      <c r="G173" s="70"/>
      <c r="H173" s="70"/>
      <c r="I173" s="70"/>
      <c r="J173" s="70"/>
      <c r="K173" s="70"/>
      <c r="L173" s="70"/>
      <c r="M173" s="70"/>
      <c r="N173" s="70"/>
      <c r="O173" s="47"/>
      <c r="P173" s="47"/>
    </row>
    <row r="174" spans="2:16" ht="24" customHeight="1" x14ac:dyDescent="0.2">
      <c r="B174" s="76" t="s">
        <v>94</v>
      </c>
      <c r="C174" s="76" t="s">
        <v>83</v>
      </c>
      <c r="D174" s="76" t="s">
        <v>84</v>
      </c>
      <c r="E174" s="76" t="s">
        <v>85</v>
      </c>
      <c r="F174" s="76" t="s">
        <v>86</v>
      </c>
      <c r="G174" s="76" t="s">
        <v>60</v>
      </c>
      <c r="H174" s="76" t="s">
        <v>87</v>
      </c>
      <c r="I174" s="76" t="s">
        <v>88</v>
      </c>
      <c r="J174" s="76" t="s">
        <v>89</v>
      </c>
      <c r="K174" s="76" t="s">
        <v>90</v>
      </c>
      <c r="L174" s="76" t="s">
        <v>91</v>
      </c>
      <c r="M174" s="76" t="s">
        <v>92</v>
      </c>
      <c r="N174" s="76" t="s">
        <v>93</v>
      </c>
      <c r="O174" s="47"/>
      <c r="P174" s="47"/>
    </row>
    <row r="175" spans="2:16" x14ac:dyDescent="0.2">
      <c r="B175" s="75">
        <f t="shared" ref="B175:B184" si="45">+B116</f>
        <v>2013</v>
      </c>
      <c r="C175" s="82">
        <f>SUMIF(Inputs!$A:$A,Summaries!$B175&amp;C$42,Inputs!$O:$O)</f>
        <v>144.98936781896037</v>
      </c>
      <c r="D175" s="82">
        <f>SUMIF(Inputs!$A:$A,Summaries!$B175&amp;D$42,Inputs!$O:$O)</f>
        <v>145.14551144798114</v>
      </c>
      <c r="E175" s="82">
        <f>SUMIF(Inputs!$A:$A,Summaries!$B175&amp;E$42,Inputs!$O:$O)</f>
        <v>145.30182323300707</v>
      </c>
      <c r="F175" s="82">
        <f>SUMIF(Inputs!$A:$A,Summaries!$B175&amp;F$42,Inputs!$O:$O)</f>
        <v>145.45830335513068</v>
      </c>
      <c r="G175" s="82">
        <f>SUMIF(Inputs!$A:$A,Summaries!$B175&amp;G$42,Inputs!$O:$O)</f>
        <v>145.6149519956395</v>
      </c>
      <c r="H175" s="82">
        <f>SUMIF(Inputs!$A:$A,Summaries!$B175&amp;H$42,Inputs!$O:$O)</f>
        <v>145.77176933601632</v>
      </c>
      <c r="I175" s="82">
        <f>SUMIF(Inputs!$A:$A,Summaries!$B175&amp;I$42,Inputs!$O:$O)</f>
        <v>145.92875555793933</v>
      </c>
      <c r="J175" s="82">
        <f>SUMIF(Inputs!$A:$A,Summaries!$B175&amp;J$42,Inputs!$O:$O)</f>
        <v>146.08591084328242</v>
      </c>
      <c r="K175" s="82">
        <f>SUMIF(Inputs!$A:$A,Summaries!$B175&amp;K$42,Inputs!$O:$O)</f>
        <v>146.2432353741153</v>
      </c>
      <c r="L175" s="82">
        <f>SUMIF(Inputs!$A:$A,Summaries!$B175&amp;L$42,Inputs!$O:$O)</f>
        <v>146.4007293327038</v>
      </c>
      <c r="M175" s="82">
        <f>SUMIF(Inputs!$A:$A,Summaries!$B175&amp;M$42,Inputs!$O:$O)</f>
        <v>146.55839290151005</v>
      </c>
      <c r="N175" s="82">
        <f>SUMIF(Inputs!$A:$A,Summaries!$B175&amp;N$42,Inputs!$O:$O)</f>
        <v>146.71622626319265</v>
      </c>
      <c r="O175" s="47"/>
      <c r="P175" s="47"/>
    </row>
    <row r="176" spans="2:16" x14ac:dyDescent="0.2">
      <c r="B176" s="75">
        <f t="shared" si="45"/>
        <v>2014</v>
      </c>
      <c r="C176" s="82">
        <f>SUMIF(Inputs!$A:$A,Summaries!$B176&amp;C$42,Inputs!$O:$O)</f>
        <v>147.04232175221028</v>
      </c>
      <c r="D176" s="82">
        <f>SUMIF(Inputs!$A:$A,Summaries!$B176&amp;D$42,Inputs!$O:$O)</f>
        <v>147.36914202996238</v>
      </c>
      <c r="E176" s="82">
        <f>SUMIF(Inputs!$A:$A,Summaries!$B176&amp;E$42,Inputs!$O:$O)</f>
        <v>147.69668870738414</v>
      </c>
      <c r="F176" s="82">
        <f>SUMIF(Inputs!$A:$A,Summaries!$B176&amp;F$42,Inputs!$O:$O)</f>
        <v>148.02496339899133</v>
      </c>
      <c r="G176" s="82">
        <f>SUMIF(Inputs!$A:$A,Summaries!$B176&amp;G$42,Inputs!$O:$O)</f>
        <v>148.35396772288814</v>
      </c>
      <c r="H176" s="82">
        <f>SUMIF(Inputs!$A:$A,Summaries!$B176&amp;H$42,Inputs!$O:$O)</f>
        <v>148.68370330077519</v>
      </c>
      <c r="I176" s="82">
        <f>SUMIF(Inputs!$A:$A,Summaries!$B176&amp;I$42,Inputs!$O:$O)</f>
        <v>149.0141717579576</v>
      </c>
      <c r="J176" s="82">
        <f>SUMIF(Inputs!$A:$A,Summaries!$B176&amp;J$42,Inputs!$O:$O)</f>
        <v>149.34537472335285</v>
      </c>
      <c r="K176" s="82">
        <f>SUMIF(Inputs!$A:$A,Summaries!$B176&amp;K$42,Inputs!$O:$O)</f>
        <v>149.67731382949896</v>
      </c>
      <c r="L176" s="82">
        <f>SUMIF(Inputs!$A:$A,Summaries!$B176&amp;L$42,Inputs!$O:$O)</f>
        <v>150.00999071256246</v>
      </c>
      <c r="M176" s="82">
        <f>SUMIF(Inputs!$A:$A,Summaries!$B176&amp;M$42,Inputs!$O:$O)</f>
        <v>150.34340701234646</v>
      </c>
      <c r="N176" s="82">
        <f>SUMIF(Inputs!$A:$A,Summaries!$B176&amp;N$42,Inputs!$O:$O)</f>
        <v>150.67756437229883</v>
      </c>
      <c r="O176" s="47"/>
      <c r="P176" s="47"/>
    </row>
    <row r="177" spans="2:22" x14ac:dyDescent="0.2">
      <c r="B177" s="75">
        <f t="shared" si="45"/>
        <v>2015</v>
      </c>
      <c r="C177" s="82">
        <f>SUMIF(Inputs!$A:$A,Summaries!$B177&amp;C$42,Inputs!$O:$O)</f>
        <v>150.98793548444445</v>
      </c>
      <c r="D177" s="82">
        <f>SUMIF(Inputs!$A:$A,Summaries!$B177&amp;D$42,Inputs!$O:$O)</f>
        <v>151.298945910264</v>
      </c>
      <c r="E177" s="82">
        <f>SUMIF(Inputs!$A:$A,Summaries!$B177&amp;E$42,Inputs!$O:$O)</f>
        <v>151.61059696663892</v>
      </c>
      <c r="F177" s="82">
        <f>SUMIF(Inputs!$A:$A,Summaries!$B177&amp;F$42,Inputs!$O:$O)</f>
        <v>151.92288997316331</v>
      </c>
      <c r="G177" s="82">
        <f>SUMIF(Inputs!$A:$A,Summaries!$B177&amp;G$42,Inputs!$O:$O)</f>
        <v>152.23582625214937</v>
      </c>
      <c r="H177" s="82">
        <f>SUMIF(Inputs!$A:$A,Summaries!$B177&amp;H$42,Inputs!$O:$O)</f>
        <v>152.54940712863302</v>
      </c>
      <c r="I177" s="82">
        <f>SUMIF(Inputs!$A:$A,Summaries!$B177&amp;I$42,Inputs!$O:$O)</f>
        <v>152.86363393037959</v>
      </c>
      <c r="J177" s="82">
        <f>SUMIF(Inputs!$A:$A,Summaries!$B177&amp;J$42,Inputs!$O:$O)</f>
        <v>153.17850798788936</v>
      </c>
      <c r="K177" s="82">
        <f>SUMIF(Inputs!$A:$A,Summaries!$B177&amp;K$42,Inputs!$O:$O)</f>
        <v>153.4940306344032</v>
      </c>
      <c r="L177" s="82">
        <f>SUMIF(Inputs!$A:$A,Summaries!$B177&amp;L$42,Inputs!$O:$O)</f>
        <v>153.81020320590829</v>
      </c>
      <c r="M177" s="82">
        <f>SUMIF(Inputs!$A:$A,Summaries!$B177&amp;M$42,Inputs!$O:$O)</f>
        <v>154.12702704114372</v>
      </c>
      <c r="N177" s="82">
        <f>SUMIF(Inputs!$A:$A,Summaries!$B177&amp;N$42,Inputs!$O:$O)</f>
        <v>154.44450348160629</v>
      </c>
      <c r="O177" s="47"/>
      <c r="P177" s="47"/>
    </row>
    <row r="178" spans="2:22" x14ac:dyDescent="0.2">
      <c r="B178" s="75">
        <f t="shared" si="45"/>
        <v>2016</v>
      </c>
      <c r="C178" s="82">
        <f>SUMIF(Inputs!$A:$A,Summaries!$B178&amp;C$42,Inputs!$O:$O)</f>
        <v>154.72483615659849</v>
      </c>
      <c r="D178" s="82">
        <f>SUMIF(Inputs!$A:$A,Summaries!$B178&amp;D$42,Inputs!$O:$O)</f>
        <v>155.00567766425806</v>
      </c>
      <c r="E178" s="82">
        <f>SUMIF(Inputs!$A:$A,Summaries!$B178&amp;E$42,Inputs!$O:$O)</f>
        <v>155.2870289281687</v>
      </c>
      <c r="F178" s="82">
        <f>SUMIF(Inputs!$A:$A,Summaries!$B178&amp;F$42,Inputs!$O:$O)</f>
        <v>155.56889087359048</v>
      </c>
      <c r="G178" s="82">
        <f>SUMIF(Inputs!$A:$A,Summaries!$B178&amp;G$42,Inputs!$O:$O)</f>
        <v>155.85126442746289</v>
      </c>
      <c r="H178" s="82">
        <f>SUMIF(Inputs!$A:$A,Summaries!$B178&amp;H$42,Inputs!$O:$O)</f>
        <v>156.13415051840798</v>
      </c>
      <c r="I178" s="82">
        <f>SUMIF(Inputs!$A:$A,Summaries!$B178&amp;I$42,Inputs!$O:$O)</f>
        <v>156.41755007673331</v>
      </c>
      <c r="J178" s="82">
        <f>SUMIF(Inputs!$A:$A,Summaries!$B178&amp;J$42,Inputs!$O:$O)</f>
        <v>156.70146403443502</v>
      </c>
      <c r="K178" s="82">
        <f>SUMIF(Inputs!$A:$A,Summaries!$B178&amp;K$42,Inputs!$O:$O)</f>
        <v>156.98589332520095</v>
      </c>
      <c r="L178" s="82">
        <f>SUMIF(Inputs!$A:$A,Summaries!$B178&amp;L$42,Inputs!$O:$O)</f>
        <v>157.27083888441365</v>
      </c>
      <c r="M178" s="82">
        <f>SUMIF(Inputs!$A:$A,Summaries!$B178&amp;M$42,Inputs!$O:$O)</f>
        <v>157.55630164915351</v>
      </c>
      <c r="N178" s="82">
        <f>SUMIF(Inputs!$A:$A,Summaries!$B178&amp;N$42,Inputs!$O:$O)</f>
        <v>157.84228255820162</v>
      </c>
      <c r="O178" s="47"/>
      <c r="P178" s="47"/>
    </row>
    <row r="179" spans="2:22" x14ac:dyDescent="0.2">
      <c r="B179" s="75">
        <f t="shared" si="45"/>
        <v>2017</v>
      </c>
      <c r="C179" s="82">
        <f>SUMIF(Inputs!$A:$A,Summaries!$B179&amp;C$42,Inputs!$O:$O)</f>
        <v>158.15454692394951</v>
      </c>
      <c r="D179" s="82">
        <f>SUMIF(Inputs!$A:$A,Summaries!$B179&amp;D$42,Inputs!$O:$O)</f>
        <v>158.46742905214063</v>
      </c>
      <c r="E179" s="82">
        <f>SUMIF(Inputs!$A:$A,Summaries!$B179&amp;E$42,Inputs!$O:$O)</f>
        <v>158.78093016491388</v>
      </c>
      <c r="F179" s="82">
        <f>SUMIF(Inputs!$A:$A,Summaries!$B179&amp;F$42,Inputs!$O:$O)</f>
        <v>159.09505148682601</v>
      </c>
      <c r="G179" s="82">
        <f>SUMIF(Inputs!$A:$A,Summaries!$B179&amp;G$42,Inputs!$O:$O)</f>
        <v>159.4097942448563</v>
      </c>
      <c r="H179" s="82">
        <f>SUMIF(Inputs!$A:$A,Summaries!$B179&amp;H$42,Inputs!$O:$O)</f>
        <v>159.72515966841141</v>
      </c>
      <c r="I179" s="82">
        <f>SUMIF(Inputs!$A:$A,Summaries!$B179&amp;I$42,Inputs!$O:$O)</f>
        <v>160.0411489893302</v>
      </c>
      <c r="J179" s="82">
        <f>SUMIF(Inputs!$A:$A,Summaries!$B179&amp;J$42,Inputs!$O:$O)</f>
        <v>160.35776344188849</v>
      </c>
      <c r="K179" s="82">
        <f>SUMIF(Inputs!$A:$A,Summaries!$B179&amp;K$42,Inputs!$O:$O)</f>
        <v>160.67500426280395</v>
      </c>
      <c r="L179" s="82">
        <f>SUMIF(Inputs!$A:$A,Summaries!$B179&amp;L$42,Inputs!$O:$O)</f>
        <v>160.99287269124085</v>
      </c>
      <c r="M179" s="82">
        <f>SUMIF(Inputs!$A:$A,Summaries!$B179&amp;M$42,Inputs!$O:$O)</f>
        <v>161.31136996881492</v>
      </c>
      <c r="N179" s="82">
        <f>SUMIF(Inputs!$A:$A,Summaries!$B179&amp;N$42,Inputs!$O:$O)</f>
        <v>161.63049733959846</v>
      </c>
      <c r="O179" s="47"/>
      <c r="P179" s="47"/>
    </row>
    <row r="180" spans="2:22" x14ac:dyDescent="0.2">
      <c r="B180" s="75">
        <f t="shared" si="45"/>
        <v>2018</v>
      </c>
      <c r="C180" s="82">
        <f>SUMIF(Inputs!$A:$A,Summaries!$B180&amp;C$42,Inputs!$O:$O)</f>
        <v>161.9238733332927</v>
      </c>
      <c r="D180" s="82">
        <f>SUMIF(Inputs!$A:$A,Summaries!$B180&amp;D$42,Inputs!$O:$O)</f>
        <v>162.21778183462067</v>
      </c>
      <c r="E180" s="82">
        <f>SUMIF(Inputs!$A:$A,Summaries!$B180&amp;E$42,Inputs!$O:$O)</f>
        <v>162.51222381013852</v>
      </c>
      <c r="F180" s="82">
        <f>SUMIF(Inputs!$A:$A,Summaries!$B180&amp;F$42,Inputs!$O:$O)</f>
        <v>162.80720022815689</v>
      </c>
      <c r="G180" s="82">
        <f>SUMIF(Inputs!$A:$A,Summaries!$B180&amp;G$42,Inputs!$O:$O)</f>
        <v>163.10271205874389</v>
      </c>
      <c r="H180" s="82">
        <f>SUMIF(Inputs!$A:$A,Summaries!$B180&amp;H$42,Inputs!$O:$O)</f>
        <v>163.39876027372847</v>
      </c>
      <c r="I180" s="82">
        <f>SUMIF(Inputs!$A:$A,Summaries!$B180&amp;I$42,Inputs!$O:$O)</f>
        <v>163.69534584670356</v>
      </c>
      <c r="J180" s="82">
        <f>SUMIF(Inputs!$A:$A,Summaries!$B180&amp;J$42,Inputs!$O:$O)</f>
        <v>163.99246975302921</v>
      </c>
      <c r="K180" s="82">
        <f>SUMIF(Inputs!$A:$A,Summaries!$B180&amp;K$42,Inputs!$O:$O)</f>
        <v>164.29013296983589</v>
      </c>
      <c r="L180" s="82">
        <f>SUMIF(Inputs!$A:$A,Summaries!$B180&amp;L$42,Inputs!$O:$O)</f>
        <v>164.58833647602765</v>
      </c>
      <c r="M180" s="82">
        <f>SUMIF(Inputs!$A:$A,Summaries!$B180&amp;M$42,Inputs!$O:$O)</f>
        <v>164.88708125228533</v>
      </c>
      <c r="N180" s="82">
        <f>SUMIF(Inputs!$A:$A,Summaries!$B180&amp;N$42,Inputs!$O:$O)</f>
        <v>165.18636828106963</v>
      </c>
      <c r="O180" s="47"/>
      <c r="P180" s="47"/>
    </row>
    <row r="181" spans="2:22" x14ac:dyDescent="0.2">
      <c r="B181" s="75">
        <f t="shared" si="45"/>
        <v>2019</v>
      </c>
      <c r="C181" s="82">
        <f>SUMIF(Inputs!$A:$A,Summaries!$B181&amp;C$42,Inputs!$O:$O)</f>
        <v>165.45918699825475</v>
      </c>
      <c r="D181" s="82">
        <f>SUMIF(Inputs!$A:$A,Summaries!$B181&amp;D$42,Inputs!$O:$O)</f>
        <v>165.732456297732</v>
      </c>
      <c r="E181" s="82">
        <f>SUMIF(Inputs!$A:$A,Summaries!$B181&amp;E$42,Inputs!$O:$O)</f>
        <v>166.00617692367464</v>
      </c>
      <c r="F181" s="82">
        <f>SUMIF(Inputs!$A:$A,Summaries!$B181&amp;F$42,Inputs!$O:$O)</f>
        <v>166.28034962148504</v>
      </c>
      <c r="G181" s="82">
        <f>SUMIF(Inputs!$A:$A,Summaries!$B181&amp;G$42,Inputs!$O:$O)</f>
        <v>166.55497513779665</v>
      </c>
      <c r="H181" s="82">
        <f>SUMIF(Inputs!$A:$A,Summaries!$B181&amp;H$42,Inputs!$O:$O)</f>
        <v>166.83005422047603</v>
      </c>
      <c r="I181" s="82">
        <f>SUMIF(Inputs!$A:$A,Summaries!$B181&amp;I$42,Inputs!$O:$O)</f>
        <v>167.1055876186249</v>
      </c>
      <c r="J181" s="82">
        <f>SUMIF(Inputs!$A:$A,Summaries!$B181&amp;J$42,Inputs!$O:$O)</f>
        <v>167.3815760825822</v>
      </c>
      <c r="K181" s="82">
        <f>SUMIF(Inputs!$A:$A,Summaries!$B181&amp;K$42,Inputs!$O:$O)</f>
        <v>167.65802036392614</v>
      </c>
      <c r="L181" s="82">
        <f>SUMIF(Inputs!$A:$A,Summaries!$B181&amp;L$42,Inputs!$O:$O)</f>
        <v>167.93492121547615</v>
      </c>
      <c r="M181" s="82">
        <f>SUMIF(Inputs!$A:$A,Summaries!$B181&amp;M$42,Inputs!$O:$O)</f>
        <v>168.21227939129508</v>
      </c>
      <c r="N181" s="82">
        <f>SUMIF(Inputs!$A:$A,Summaries!$B181&amp;N$42,Inputs!$O:$O)</f>
        <v>168.49009564669103</v>
      </c>
      <c r="O181" s="47"/>
      <c r="P181" s="47"/>
    </row>
    <row r="182" spans="2:22" x14ac:dyDescent="0.2">
      <c r="B182" s="75">
        <f t="shared" si="45"/>
        <v>2020</v>
      </c>
      <c r="C182" s="82">
        <f>SUMIF(Inputs!$A:$A,Summaries!$B182&amp;C$42,Inputs!$O:$O)</f>
        <v>167.7567077806583</v>
      </c>
      <c r="D182" s="82">
        <f>SUMIF(Inputs!$A:$A,Summaries!$B182&amp;D$42,Inputs!$O:$O)</f>
        <v>167.02651213645905</v>
      </c>
      <c r="E182" s="82">
        <f>SUMIF(Inputs!$A:$A,Summaries!$B182&amp;E$42,Inputs!$O:$O)</f>
        <v>166.29949481928981</v>
      </c>
      <c r="F182" s="82">
        <f>SUMIF(Inputs!$A:$A,Summaries!$B182&amp;F$42,Inputs!$O:$O)</f>
        <v>165.57564199482715</v>
      </c>
      <c r="G182" s="82">
        <f>SUMIF(Inputs!$A:$A,Summaries!$B182&amp;G$42,Inputs!$O:$O)</f>
        <v>164.85493988896442</v>
      </c>
      <c r="H182" s="82">
        <f>SUMIF(Inputs!$A:$A,Summaries!$B182&amp;H$42,Inputs!$O:$O)</f>
        <v>164.13737478754956</v>
      </c>
      <c r="I182" s="82">
        <f>SUMIF(Inputs!$A:$A,Summaries!$B182&amp;I$42,Inputs!$O:$O)</f>
        <v>163.42293303612416</v>
      </c>
      <c r="J182" s="82">
        <f>SUMIF(Inputs!$A:$A,Summaries!$B182&amp;J$42,Inputs!$O:$O)</f>
        <v>162.71160103966372</v>
      </c>
      <c r="K182" s="82">
        <f>SUMIF(Inputs!$A:$A,Summaries!$B182&amp;K$42,Inputs!$O:$O)</f>
        <v>162.00336526231885</v>
      </c>
      <c r="L182" s="82">
        <f>SUMIF(Inputs!$A:$A,Summaries!$B182&amp;L$42,Inputs!$O:$O)</f>
        <v>161.29821222715773</v>
      </c>
      <c r="M182" s="82">
        <f>SUMIF(Inputs!$A:$A,Summaries!$B182&amp;M$42,Inputs!$O:$O)</f>
        <v>160.59612851590967</v>
      </c>
      <c r="N182" s="82">
        <f>SUMIF(Inputs!$A:$A,Summaries!$B182&amp;N$42,Inputs!$O:$O)</f>
        <v>159.89710076870981</v>
      </c>
      <c r="O182" s="47"/>
      <c r="P182" s="47"/>
    </row>
    <row r="183" spans="2:22" x14ac:dyDescent="0.2">
      <c r="B183" s="75">
        <f t="shared" si="45"/>
        <v>2021</v>
      </c>
      <c r="C183" s="82">
        <f>SUMIF(Inputs!$A:$A,Summaries!$B183&amp;C$42,Inputs!$O:$O)</f>
        <v>160.45907401322623</v>
      </c>
      <c r="D183" s="82">
        <f>SUMIF(Inputs!$A:$A,Summaries!$B183&amp;D$42,Inputs!$O:$O)</f>
        <v>161.02302236502123</v>
      </c>
      <c r="E183" s="82">
        <f>SUMIF(Inputs!$A:$A,Summaries!$B183&amp;E$42,Inputs!$O:$O)</f>
        <v>161.58895276579321</v>
      </c>
      <c r="F183" s="82">
        <f>SUMIF(Inputs!$A:$A,Summaries!$B183&amp;F$42,Inputs!$O:$O)</f>
        <v>162.15687218163777</v>
      </c>
      <c r="G183" s="82">
        <f>SUMIF(Inputs!$A:$A,Summaries!$B183&amp;G$42,Inputs!$O:$O)</f>
        <v>162.72678760313354</v>
      </c>
      <c r="H183" s="82">
        <f>SUMIF(Inputs!$A:$A,Summaries!$B183&amp;H$42,Inputs!$O:$O)</f>
        <v>163.29870604542819</v>
      </c>
      <c r="I183" s="82">
        <f>SUMIF(Inputs!$A:$A,Summaries!$B183&amp;I$42,Inputs!$O:$O)</f>
        <v>163.87263454832475</v>
      </c>
      <c r="J183" s="82">
        <f>SUMIF(Inputs!$A:$A,Summaries!$B183&amp;J$42,Inputs!$O:$O)</f>
        <v>164.4485801763683</v>
      </c>
      <c r="K183" s="82">
        <f>SUMIF(Inputs!$A:$A,Summaries!$B183&amp;K$42,Inputs!$O:$O)</f>
        <v>165.02655001893294</v>
      </c>
      <c r="L183" s="82">
        <f>SUMIF(Inputs!$A:$A,Summaries!$B183&amp;L$42,Inputs!$O:$O)</f>
        <v>165.60655119030903</v>
      </c>
      <c r="M183" s="82">
        <f>SUMIF(Inputs!$A:$A,Summaries!$B183&amp;M$42,Inputs!$O:$O)</f>
        <v>166.18859082979077</v>
      </c>
      <c r="N183" s="82">
        <f>SUMIF(Inputs!$A:$A,Summaries!$B183&amp;N$42,Inputs!$O:$O)</f>
        <v>166.77267610176432</v>
      </c>
      <c r="O183" s="47"/>
      <c r="P183" s="47"/>
    </row>
    <row r="184" spans="2:22" x14ac:dyDescent="0.2">
      <c r="B184" s="75">
        <f t="shared" si="45"/>
        <v>2022</v>
      </c>
      <c r="C184" s="82">
        <f>SUMIF(Inputs!$A:$A,Summaries!$B184&amp;C$42,Inputs!$O:$O)</f>
        <v>167.12978112022378</v>
      </c>
      <c r="D184" s="82">
        <f>SUMIF(Inputs!$A:$A,Summaries!$B184&amp;D$42,Inputs!$O:$O)</f>
        <v>167.48765079628296</v>
      </c>
      <c r="E184" s="82">
        <f>SUMIF(Inputs!$A:$A,Summaries!$B184&amp;E$42,Inputs!$O:$O)</f>
        <v>167.84628676727883</v>
      </c>
      <c r="F184" s="82">
        <f>SUMIF(Inputs!$A:$A,Summaries!$B184&amp;F$42,Inputs!$O:$O)</f>
        <v>168.20569067405432</v>
      </c>
      <c r="G184" s="82">
        <f>SUMIF(Inputs!$A:$A,Summaries!$B184&amp;G$42,Inputs!$O:$O)</f>
        <v>168.56586416096587</v>
      </c>
      <c r="H184" s="82">
        <f>SUMIF(Inputs!$A:$A,Summaries!$B184&amp;H$42,Inputs!$O:$O)</f>
        <v>168.92680887589088</v>
      </c>
      <c r="I184" s="82">
        <f>SUMIF(Inputs!$A:$A,Summaries!$B184&amp;I$42,Inputs!$O:$O)</f>
        <v>169.28852647023535</v>
      </c>
      <c r="J184" s="82">
        <f>SUMIF(Inputs!$A:$A,Summaries!$B184&amp;J$42,Inputs!$O:$O)</f>
        <v>169.65101859894136</v>
      </c>
      <c r="K184" s="82">
        <f>SUMIF(Inputs!$A:$A,Summaries!$B184&amp;K$42,Inputs!$O:$O)</f>
        <v>170.01428692049467</v>
      </c>
      <c r="L184" s="82">
        <f>SUMIF(Inputs!$A:$A,Summaries!$B184&amp;L$42,Inputs!$O:$O)</f>
        <v>170.37833309693227</v>
      </c>
      <c r="M184" s="82">
        <f>SUMIF(Inputs!$A:$A,Summaries!$B184&amp;M$42,Inputs!$O:$O)</f>
        <v>170.74315879385006</v>
      </c>
      <c r="N184" s="82">
        <f>SUMIF(Inputs!$A:$A,Summaries!$B184&amp;N$42,Inputs!$O:$O)</f>
        <v>171.10876568041019</v>
      </c>
      <c r="O184" s="77"/>
      <c r="P184" s="47"/>
    </row>
    <row r="185" spans="2:22" x14ac:dyDescent="0.2">
      <c r="B185" s="74"/>
      <c r="C185" s="70"/>
      <c r="D185" s="70"/>
      <c r="E185" s="70"/>
      <c r="F185" s="70"/>
      <c r="G185" s="70"/>
      <c r="H185" s="70"/>
      <c r="I185" s="70"/>
      <c r="J185" s="70"/>
      <c r="K185" s="70"/>
      <c r="L185" s="70"/>
      <c r="M185" s="70"/>
      <c r="N185" s="70"/>
      <c r="O185" s="77"/>
      <c r="P185" s="47"/>
    </row>
    <row r="186" spans="2:22" ht="25.5" x14ac:dyDescent="0.2">
      <c r="B186" s="76" t="s">
        <v>144</v>
      </c>
      <c r="C186" s="76" t="s">
        <v>83</v>
      </c>
      <c r="D186" s="76" t="s">
        <v>84</v>
      </c>
      <c r="E186" s="76" t="s">
        <v>85</v>
      </c>
      <c r="F186" s="76" t="s">
        <v>86</v>
      </c>
      <c r="G186" s="76" t="s">
        <v>60</v>
      </c>
      <c r="H186" s="76" t="s">
        <v>87</v>
      </c>
      <c r="I186" s="76" t="s">
        <v>88</v>
      </c>
      <c r="J186" s="76" t="s">
        <v>89</v>
      </c>
      <c r="K186" s="76" t="s">
        <v>90</v>
      </c>
      <c r="L186" s="76" t="s">
        <v>91</v>
      </c>
      <c r="M186" s="76" t="s">
        <v>92</v>
      </c>
      <c r="N186" s="76" t="s">
        <v>93</v>
      </c>
      <c r="O186" s="77"/>
      <c r="P186" s="76" t="s">
        <v>111</v>
      </c>
      <c r="Q186" s="76" t="s">
        <v>138</v>
      </c>
      <c r="R186" s="76" t="s">
        <v>125</v>
      </c>
      <c r="S186" s="76" t="s">
        <v>139</v>
      </c>
      <c r="T186" s="76" t="s">
        <v>125</v>
      </c>
      <c r="U186" s="102" t="s">
        <v>140</v>
      </c>
      <c r="V186" t="s">
        <v>141</v>
      </c>
    </row>
    <row r="187" spans="2:22" x14ac:dyDescent="0.2">
      <c r="B187" s="75">
        <f>+B175</f>
        <v>2013</v>
      </c>
      <c r="C187" s="82">
        <v>0</v>
      </c>
      <c r="D187" s="82">
        <v>0</v>
      </c>
      <c r="E187" s="82">
        <v>0</v>
      </c>
      <c r="F187" s="82">
        <v>0</v>
      </c>
      <c r="G187" s="82">
        <v>0</v>
      </c>
      <c r="H187" s="82">
        <v>0</v>
      </c>
      <c r="I187" s="82">
        <v>0</v>
      </c>
      <c r="J187" s="82">
        <v>0</v>
      </c>
      <c r="K187" s="82">
        <v>0</v>
      </c>
      <c r="L187" s="82">
        <v>0</v>
      </c>
      <c r="M187" s="82">
        <v>0</v>
      </c>
      <c r="N187" s="82">
        <v>0</v>
      </c>
      <c r="O187" s="77"/>
      <c r="P187" s="75">
        <f t="shared" ref="P187:P194" si="46">+P188-1</f>
        <v>2013</v>
      </c>
      <c r="Q187" s="100">
        <f>SUMIF('Purchased Power Model'!B:B,Summaries!P187,'Purchased Power Model'!D:D)</f>
        <v>253794532.28605214</v>
      </c>
      <c r="R187" s="87"/>
      <c r="S187" s="100">
        <f>SUMIF('Purchased Power Model'!B:B,Summaries!P187,'Purchased Power Model'!L:L)</f>
        <v>251057418.86621657</v>
      </c>
      <c r="T187" s="87"/>
      <c r="U187" s="101">
        <f>(S187-Q187)/Q187</f>
        <v>-1.0784761181342408E-2</v>
      </c>
    </row>
    <row r="188" spans="2:22" x14ac:dyDescent="0.2">
      <c r="B188" s="75">
        <f t="shared" ref="B188:B196" si="47">+B176</f>
        <v>2014</v>
      </c>
      <c r="C188" s="82">
        <v>0</v>
      </c>
      <c r="D188" s="82">
        <v>0</v>
      </c>
      <c r="E188" s="82">
        <v>0</v>
      </c>
      <c r="F188" s="82">
        <v>0</v>
      </c>
      <c r="G188" s="82">
        <v>0</v>
      </c>
      <c r="H188" s="82">
        <v>0</v>
      </c>
      <c r="I188" s="82">
        <v>0</v>
      </c>
      <c r="J188" s="82">
        <v>0</v>
      </c>
      <c r="K188" s="82">
        <v>0</v>
      </c>
      <c r="L188" s="82">
        <v>0</v>
      </c>
      <c r="M188" s="82">
        <v>0</v>
      </c>
      <c r="N188" s="82">
        <v>0</v>
      </c>
      <c r="O188" s="77"/>
      <c r="P188" s="75">
        <f t="shared" si="46"/>
        <v>2014</v>
      </c>
      <c r="Q188" s="100">
        <f>SUMIF('Purchased Power Model'!B:B,Summaries!P188,'Purchased Power Model'!D:D)</f>
        <v>256463675.28359121</v>
      </c>
      <c r="R188" s="101">
        <f>(Q188-Q187)/Q187</f>
        <v>1.0516944449105305E-2</v>
      </c>
      <c r="S188" s="100">
        <f>SUMIF('Purchased Power Model'!B:B,Summaries!P188,'Purchased Power Model'!L:L)</f>
        <v>253261286.00769246</v>
      </c>
      <c r="T188" s="122">
        <f>+S188/S187-1</f>
        <v>8.77833904064107E-3</v>
      </c>
      <c r="U188" s="101">
        <f t="shared" ref="U188:U196" si="48">(S188-Q188)/Q188</f>
        <v>-1.2486716773272595E-2</v>
      </c>
    </row>
    <row r="189" spans="2:22" x14ac:dyDescent="0.2">
      <c r="B189" s="75">
        <f t="shared" si="47"/>
        <v>2015</v>
      </c>
      <c r="C189" s="82">
        <v>0</v>
      </c>
      <c r="D189" s="82">
        <v>0</v>
      </c>
      <c r="E189" s="82">
        <v>0</v>
      </c>
      <c r="F189" s="82">
        <v>0</v>
      </c>
      <c r="G189" s="82">
        <v>0</v>
      </c>
      <c r="H189" s="82">
        <v>0</v>
      </c>
      <c r="I189" s="82">
        <v>0</v>
      </c>
      <c r="J189" s="82">
        <v>0</v>
      </c>
      <c r="K189" s="82">
        <v>0</v>
      </c>
      <c r="L189" s="82">
        <v>0</v>
      </c>
      <c r="M189" s="82">
        <v>0</v>
      </c>
      <c r="N189" s="82">
        <v>0</v>
      </c>
      <c r="O189" s="77"/>
      <c r="P189" s="75">
        <f t="shared" si="46"/>
        <v>2015</v>
      </c>
      <c r="Q189" s="100">
        <f>SUMIF('Purchased Power Model'!B:B,Summaries!P189,'Purchased Power Model'!D:D)</f>
        <v>256374688.63650927</v>
      </c>
      <c r="R189" s="101">
        <f t="shared" ref="R189:R196" si="49">(Q189-Q188)/Q188</f>
        <v>-3.4697563693393275E-4</v>
      </c>
      <c r="S189" s="100">
        <f>SUMIF('Purchased Power Model'!B:B,Summaries!P189,'Purchased Power Model'!L:L)</f>
        <v>255606326.81527585</v>
      </c>
      <c r="T189" s="101">
        <f t="shared" ref="T189:T196" si="50">+S189/S188-1</f>
        <v>9.2593733710732984E-3</v>
      </c>
      <c r="U189" s="101">
        <f t="shared" si="48"/>
        <v>-2.9970268333424015E-3</v>
      </c>
    </row>
    <row r="190" spans="2:22" x14ac:dyDescent="0.2">
      <c r="B190" s="75">
        <f t="shared" si="47"/>
        <v>2016</v>
      </c>
      <c r="C190" s="82">
        <v>0</v>
      </c>
      <c r="D190" s="82">
        <v>0</v>
      </c>
      <c r="E190" s="82">
        <v>0</v>
      </c>
      <c r="F190" s="82">
        <v>0</v>
      </c>
      <c r="G190" s="82">
        <v>0</v>
      </c>
      <c r="H190" s="82">
        <v>0</v>
      </c>
      <c r="I190" s="82">
        <v>0</v>
      </c>
      <c r="J190" s="82">
        <v>0</v>
      </c>
      <c r="K190" s="82">
        <v>0</v>
      </c>
      <c r="L190" s="82">
        <v>0</v>
      </c>
      <c r="M190" s="82">
        <v>0</v>
      </c>
      <c r="N190" s="82">
        <v>0</v>
      </c>
      <c r="O190" s="77"/>
      <c r="P190" s="75">
        <f t="shared" si="46"/>
        <v>2016</v>
      </c>
      <c r="Q190" s="100">
        <f>SUMIF('Purchased Power Model'!B:B,Summaries!P190,'Purchased Power Model'!D:D)</f>
        <v>259210018.63999999</v>
      </c>
      <c r="R190" s="101">
        <f t="shared" si="49"/>
        <v>1.1059321099793424E-2</v>
      </c>
      <c r="S190" s="100">
        <f>SUMIF('Purchased Power Model'!B:B,Summaries!P190,'Purchased Power Model'!L:L)</f>
        <v>261704642.09960899</v>
      </c>
      <c r="T190" s="101">
        <f t="shared" si="50"/>
        <v>2.3858232933100743E-2</v>
      </c>
      <c r="U190" s="101">
        <f t="shared" si="48"/>
        <v>9.6239469164717088E-3</v>
      </c>
    </row>
    <row r="191" spans="2:22" x14ac:dyDescent="0.2">
      <c r="B191" s="75">
        <f t="shared" si="47"/>
        <v>2017</v>
      </c>
      <c r="C191" s="82">
        <v>0</v>
      </c>
      <c r="D191" s="82">
        <v>0</v>
      </c>
      <c r="E191" s="82">
        <v>0</v>
      </c>
      <c r="F191" s="82">
        <v>0</v>
      </c>
      <c r="G191" s="82">
        <v>0</v>
      </c>
      <c r="H191" s="82">
        <v>0</v>
      </c>
      <c r="I191" s="82">
        <v>0</v>
      </c>
      <c r="J191" s="82">
        <v>0</v>
      </c>
      <c r="K191" s="82">
        <v>0</v>
      </c>
      <c r="L191" s="82">
        <v>0</v>
      </c>
      <c r="M191" s="82">
        <v>0</v>
      </c>
      <c r="N191" s="82">
        <v>0</v>
      </c>
      <c r="O191" s="77"/>
      <c r="P191" s="75">
        <f t="shared" si="46"/>
        <v>2017</v>
      </c>
      <c r="Q191" s="100">
        <f>SUMIF('Purchased Power Model'!B:B,Summaries!P191,'Purchased Power Model'!D:D)</f>
        <v>254048366.90000001</v>
      </c>
      <c r="R191" s="101">
        <f t="shared" si="49"/>
        <v>-1.9913010180245633E-2</v>
      </c>
      <c r="S191" s="100">
        <f>SUMIF('Purchased Power Model'!B:B,Summaries!P191,'Purchased Power Model'!L:L)</f>
        <v>258277666.21120611</v>
      </c>
      <c r="T191" s="101">
        <f t="shared" si="50"/>
        <v>-1.309482270130502E-2</v>
      </c>
      <c r="U191" s="101">
        <f t="shared" si="48"/>
        <v>1.6647614636589512E-2</v>
      </c>
    </row>
    <row r="192" spans="2:22" x14ac:dyDescent="0.2">
      <c r="B192" s="75">
        <f t="shared" si="47"/>
        <v>2018</v>
      </c>
      <c r="C192" s="82">
        <v>0</v>
      </c>
      <c r="D192" s="82">
        <v>0</v>
      </c>
      <c r="E192" s="82">
        <v>0</v>
      </c>
      <c r="F192" s="82">
        <v>0</v>
      </c>
      <c r="G192" s="82">
        <v>0</v>
      </c>
      <c r="H192" s="82">
        <v>0</v>
      </c>
      <c r="I192" s="82">
        <v>0</v>
      </c>
      <c r="J192" s="82">
        <v>0</v>
      </c>
      <c r="K192" s="82">
        <v>0</v>
      </c>
      <c r="L192" s="82">
        <v>0</v>
      </c>
      <c r="M192" s="82">
        <v>0</v>
      </c>
      <c r="N192" s="82">
        <v>0</v>
      </c>
      <c r="O192" s="77"/>
      <c r="P192" s="75">
        <f t="shared" si="46"/>
        <v>2018</v>
      </c>
      <c r="Q192" s="100">
        <f>SUMIF('Purchased Power Model'!B:B,Summaries!P192,'Purchased Power Model'!D:D)</f>
        <v>266473255.97205046</v>
      </c>
      <c r="R192" s="101">
        <f t="shared" si="49"/>
        <v>4.8907573088006542E-2</v>
      </c>
      <c r="S192" s="100">
        <f>SUMIF('Purchased Power Model'!B:B,Summaries!P192,'Purchased Power Model'!L:L)</f>
        <v>266218412.34054422</v>
      </c>
      <c r="T192" s="101">
        <f t="shared" si="50"/>
        <v>3.0744997218786096E-2</v>
      </c>
      <c r="U192" s="101">
        <f t="shared" si="48"/>
        <v>-9.5635725460180569E-4</v>
      </c>
    </row>
    <row r="193" spans="2:21" x14ac:dyDescent="0.2">
      <c r="B193" s="75">
        <f t="shared" si="47"/>
        <v>2019</v>
      </c>
      <c r="C193" s="82">
        <v>0</v>
      </c>
      <c r="D193" s="82">
        <v>0</v>
      </c>
      <c r="E193" s="82">
        <v>0</v>
      </c>
      <c r="F193" s="82">
        <v>0</v>
      </c>
      <c r="G193" s="82">
        <v>0</v>
      </c>
      <c r="H193" s="82">
        <v>0</v>
      </c>
      <c r="I193" s="82">
        <v>0</v>
      </c>
      <c r="J193" s="82">
        <v>0</v>
      </c>
      <c r="K193" s="82">
        <v>0</v>
      </c>
      <c r="L193" s="82">
        <v>0</v>
      </c>
      <c r="M193" s="82">
        <v>0</v>
      </c>
      <c r="N193" s="82">
        <v>0</v>
      </c>
      <c r="O193" s="77"/>
      <c r="P193" s="75">
        <f t="shared" si="46"/>
        <v>2019</v>
      </c>
      <c r="Q193" s="100">
        <f>SUMIF('Purchased Power Model'!B:B,Summaries!P193,'Purchased Power Model'!D:D)</f>
        <v>261985353.56</v>
      </c>
      <c r="R193" s="101">
        <f t="shared" si="49"/>
        <v>-1.6841849271812769E-2</v>
      </c>
      <c r="S193" s="100">
        <f>SUMIF('Purchased Power Model'!B:B,Summaries!P193,'Purchased Power Model'!L:L)</f>
        <v>265019257.76105964</v>
      </c>
      <c r="T193" s="101">
        <f t="shared" si="50"/>
        <v>-4.5044013633085411E-3</v>
      </c>
      <c r="U193" s="101">
        <f t="shared" si="48"/>
        <v>1.1580434401516317E-2</v>
      </c>
    </row>
    <row r="194" spans="2:21" x14ac:dyDescent="0.2">
      <c r="B194" s="75">
        <f t="shared" si="47"/>
        <v>2020</v>
      </c>
      <c r="C194" s="82">
        <v>0</v>
      </c>
      <c r="D194" s="82">
        <v>0</v>
      </c>
      <c r="E194" s="82">
        <v>0</v>
      </c>
      <c r="F194" s="82">
        <v>1</v>
      </c>
      <c r="G194" s="82">
        <v>0</v>
      </c>
      <c r="H194" s="82">
        <v>0</v>
      </c>
      <c r="I194" s="82">
        <v>0</v>
      </c>
      <c r="J194" s="82">
        <v>0</v>
      </c>
      <c r="K194" s="82">
        <v>0</v>
      </c>
      <c r="L194" s="82">
        <v>0</v>
      </c>
      <c r="M194" s="82">
        <v>0</v>
      </c>
      <c r="N194" s="82">
        <v>0</v>
      </c>
      <c r="O194" s="77"/>
      <c r="P194" s="75">
        <f t="shared" si="46"/>
        <v>2020</v>
      </c>
      <c r="Q194" s="100">
        <f>SUMIF('Purchased Power Model'!B:B,Summaries!P194,'Purchased Power Model'!D:D)</f>
        <v>263490930.20000002</v>
      </c>
      <c r="R194" s="101">
        <f t="shared" si="49"/>
        <v>5.7467969851803481E-3</v>
      </c>
      <c r="S194" s="100">
        <f>SUMIF('Purchased Power Model'!B:B,Summaries!P194,'Purchased Power Model'!L:L)</f>
        <v>266884948.06330311</v>
      </c>
      <c r="T194" s="101">
        <f t="shared" si="50"/>
        <v>7.0398291731899043E-3</v>
      </c>
      <c r="U194" s="101">
        <f t="shared" si="48"/>
        <v>1.2880966569615513E-2</v>
      </c>
    </row>
    <row r="195" spans="2:21" x14ac:dyDescent="0.2">
      <c r="B195" s="75">
        <f t="shared" si="47"/>
        <v>2021</v>
      </c>
      <c r="C195" s="82">
        <v>0</v>
      </c>
      <c r="D195" s="82">
        <v>0</v>
      </c>
      <c r="E195" s="82">
        <v>0</v>
      </c>
      <c r="F195" s="82">
        <v>0</v>
      </c>
      <c r="G195" s="82">
        <v>0</v>
      </c>
      <c r="H195" s="82">
        <v>0</v>
      </c>
      <c r="I195" s="82">
        <v>0</v>
      </c>
      <c r="J195" s="82">
        <v>0</v>
      </c>
      <c r="K195" s="82">
        <v>0</v>
      </c>
      <c r="L195" s="82">
        <v>0</v>
      </c>
      <c r="M195" s="82">
        <v>0</v>
      </c>
      <c r="N195" s="82">
        <v>0</v>
      </c>
      <c r="O195" s="77"/>
      <c r="P195" s="75">
        <f>+P196-1</f>
        <v>2021</v>
      </c>
      <c r="Q195" s="100">
        <f>SUMIF('Purchased Power Model'!B:B,Summaries!P195,'Purchased Power Model'!D:D)</f>
        <v>268727921.99999994</v>
      </c>
      <c r="R195" s="101">
        <f t="shared" si="49"/>
        <v>1.987541581042216E-2</v>
      </c>
      <c r="S195" s="100">
        <f>SUMIF('Purchased Power Model'!B:B,Summaries!P195,'Purchased Power Model'!L:L)</f>
        <v>268938534.64931339</v>
      </c>
      <c r="T195" s="101">
        <f t="shared" si="50"/>
        <v>7.6946512004985035E-3</v>
      </c>
      <c r="U195" s="101">
        <f t="shared" si="48"/>
        <v>7.8373935892471166E-4</v>
      </c>
    </row>
    <row r="196" spans="2:21" x14ac:dyDescent="0.2">
      <c r="B196" s="75">
        <f t="shared" si="47"/>
        <v>2022</v>
      </c>
      <c r="C196" s="82">
        <v>0</v>
      </c>
      <c r="D196" s="82">
        <v>0</v>
      </c>
      <c r="E196" s="82">
        <v>0</v>
      </c>
      <c r="F196" s="82">
        <v>0</v>
      </c>
      <c r="G196" s="82">
        <v>0</v>
      </c>
      <c r="H196" s="82">
        <v>0</v>
      </c>
      <c r="I196" s="82">
        <v>0</v>
      </c>
      <c r="J196" s="82">
        <v>0</v>
      </c>
      <c r="K196" s="82">
        <v>0</v>
      </c>
      <c r="L196" s="82">
        <v>0</v>
      </c>
      <c r="M196" s="82">
        <v>0</v>
      </c>
      <c r="N196" s="82">
        <v>0</v>
      </c>
      <c r="O196" s="77"/>
      <c r="P196" s="75">
        <v>2022</v>
      </c>
      <c r="Q196" s="100">
        <f>SUMIF('Purchased Power Model'!B:B,Summaries!P196,'Purchased Power Model'!D:D)</f>
        <v>275958139.94408911</v>
      </c>
      <c r="R196" s="101">
        <f t="shared" si="49"/>
        <v>2.6905346829158957E-2</v>
      </c>
      <c r="S196" s="100">
        <f>SUMIF('Purchased Power Model'!B:B,Summaries!P196,'Purchased Power Model'!L:L)</f>
        <v>272212819.34678811</v>
      </c>
      <c r="T196" s="101">
        <f t="shared" si="50"/>
        <v>1.2174843972226901E-2</v>
      </c>
      <c r="U196" s="101">
        <f t="shared" si="48"/>
        <v>-1.3572060596073854E-2</v>
      </c>
    </row>
    <row r="197" spans="2:21" x14ac:dyDescent="0.2">
      <c r="O197" s="77"/>
    </row>
    <row r="199" spans="2:21" ht="25.5" customHeight="1" x14ac:dyDescent="0.2">
      <c r="B199" s="76" t="s">
        <v>70</v>
      </c>
      <c r="C199" s="76" t="s">
        <v>83</v>
      </c>
      <c r="D199" s="76" t="s">
        <v>84</v>
      </c>
      <c r="E199" s="76" t="s">
        <v>85</v>
      </c>
      <c r="F199" s="76" t="s">
        <v>86</v>
      </c>
      <c r="G199" s="76" t="s">
        <v>60</v>
      </c>
      <c r="H199" s="76" t="s">
        <v>87</v>
      </c>
      <c r="I199" s="76" t="s">
        <v>88</v>
      </c>
      <c r="J199" s="76" t="s">
        <v>89</v>
      </c>
      <c r="K199" s="76" t="s">
        <v>90</v>
      </c>
      <c r="L199" s="76" t="s">
        <v>91</v>
      </c>
      <c r="M199" s="76" t="s">
        <v>92</v>
      </c>
      <c r="N199" s="76" t="s">
        <v>93</v>
      </c>
    </row>
    <row r="200" spans="2:21" x14ac:dyDescent="0.2">
      <c r="B200" s="75">
        <f>+B187</f>
        <v>2013</v>
      </c>
      <c r="C200" s="82">
        <f>SUMIF(Inputs!$A:$A,Summaries!$B200&amp;C$42,Inputs!$M:$M)</f>
        <v>1</v>
      </c>
      <c r="D200" s="82">
        <f>SUMIF(Inputs!$A:$A,Summaries!$B200&amp;D$42,Inputs!$M:$M)</f>
        <v>2</v>
      </c>
      <c r="E200" s="82">
        <f>SUMIF(Inputs!$A:$A,Summaries!$B200&amp;E$42,Inputs!$M:$M)</f>
        <v>3</v>
      </c>
      <c r="F200" s="82">
        <f>SUMIF(Inputs!$A:$A,Summaries!$B200&amp;F$42,Inputs!$M:$M)</f>
        <v>4</v>
      </c>
      <c r="G200" s="82">
        <f>SUMIF(Inputs!$A:$A,Summaries!$B200&amp;G$42,Inputs!$M:$M)</f>
        <v>5</v>
      </c>
      <c r="H200" s="82">
        <f>SUMIF(Inputs!$A:$A,Summaries!$B200&amp;H$42,Inputs!$M:$M)</f>
        <v>6</v>
      </c>
      <c r="I200" s="82">
        <f>SUMIF(Inputs!$A:$A,Summaries!$B200&amp;I$42,Inputs!$M:$M)</f>
        <v>7</v>
      </c>
      <c r="J200" s="82">
        <f>SUMIF(Inputs!$A:$A,Summaries!$B200&amp;J$42,Inputs!$M:$M)</f>
        <v>8</v>
      </c>
      <c r="K200" s="82">
        <f>SUMIF(Inputs!$A:$A,Summaries!$B200&amp;K$42,Inputs!$M:$M)</f>
        <v>9</v>
      </c>
      <c r="L200" s="82">
        <f>SUMIF(Inputs!$A:$A,Summaries!$B200&amp;L$42,Inputs!$M:$M)</f>
        <v>10</v>
      </c>
      <c r="M200" s="82">
        <f>SUMIF(Inputs!$A:$A,Summaries!$B200&amp;M$42,Inputs!$M:$M)</f>
        <v>11</v>
      </c>
      <c r="N200" s="82">
        <f>SUMIF(Inputs!$A:$A,Summaries!$B200&amp;N$42,Inputs!$M:$M)</f>
        <v>12</v>
      </c>
    </row>
    <row r="201" spans="2:21" x14ac:dyDescent="0.2">
      <c r="B201" s="75">
        <f t="shared" ref="B201:B209" si="51">+B188</f>
        <v>2014</v>
      </c>
      <c r="C201" s="82">
        <f>SUMIF(Inputs!$A:$A,Summaries!$B201&amp;C$42,Inputs!$M:$M)</f>
        <v>13</v>
      </c>
      <c r="D201" s="82">
        <f>SUMIF(Inputs!$A:$A,Summaries!$B201&amp;D$42,Inputs!$M:$M)</f>
        <v>14</v>
      </c>
      <c r="E201" s="82">
        <f>SUMIF(Inputs!$A:$A,Summaries!$B201&amp;E$42,Inputs!$M:$M)</f>
        <v>15</v>
      </c>
      <c r="F201" s="82">
        <f>SUMIF(Inputs!$A:$A,Summaries!$B201&amp;F$42,Inputs!$M:$M)</f>
        <v>16</v>
      </c>
      <c r="G201" s="82">
        <f>SUMIF(Inputs!$A:$A,Summaries!$B201&amp;G$42,Inputs!$M:$M)</f>
        <v>17</v>
      </c>
      <c r="H201" s="82">
        <f>SUMIF(Inputs!$A:$A,Summaries!$B201&amp;H$42,Inputs!$M:$M)</f>
        <v>18</v>
      </c>
      <c r="I201" s="82">
        <f>SUMIF(Inputs!$A:$A,Summaries!$B201&amp;I$42,Inputs!$M:$M)</f>
        <v>19</v>
      </c>
      <c r="J201" s="82">
        <f>SUMIF(Inputs!$A:$A,Summaries!$B201&amp;J$42,Inputs!$M:$M)</f>
        <v>20</v>
      </c>
      <c r="K201" s="82">
        <f>SUMIF(Inputs!$A:$A,Summaries!$B201&amp;K$42,Inputs!$M:$M)</f>
        <v>21</v>
      </c>
      <c r="L201" s="82">
        <f>SUMIF(Inputs!$A:$A,Summaries!$B201&amp;L$42,Inputs!$M:$M)</f>
        <v>22</v>
      </c>
      <c r="M201" s="82">
        <f>SUMIF(Inputs!$A:$A,Summaries!$B201&amp;M$42,Inputs!$M:$M)</f>
        <v>23</v>
      </c>
      <c r="N201" s="82">
        <f>SUMIF(Inputs!$A:$A,Summaries!$B201&amp;N$42,Inputs!$M:$M)</f>
        <v>24</v>
      </c>
    </row>
    <row r="202" spans="2:21" x14ac:dyDescent="0.2">
      <c r="B202" s="75">
        <f t="shared" si="51"/>
        <v>2015</v>
      </c>
      <c r="C202" s="82">
        <f>SUMIF(Inputs!$A:$A,Summaries!$B202&amp;C$42,Inputs!$M:$M)</f>
        <v>25</v>
      </c>
      <c r="D202" s="82">
        <f>SUMIF(Inputs!$A:$A,Summaries!$B202&amp;D$42,Inputs!$M:$M)</f>
        <v>26</v>
      </c>
      <c r="E202" s="82">
        <f>SUMIF(Inputs!$A:$A,Summaries!$B202&amp;E$42,Inputs!$M:$M)</f>
        <v>27</v>
      </c>
      <c r="F202" s="82">
        <f>SUMIF(Inputs!$A:$A,Summaries!$B202&amp;F$42,Inputs!$M:$M)</f>
        <v>28</v>
      </c>
      <c r="G202" s="82">
        <f>SUMIF(Inputs!$A:$A,Summaries!$B202&amp;G$42,Inputs!$M:$M)</f>
        <v>29</v>
      </c>
      <c r="H202" s="82">
        <f>SUMIF(Inputs!$A:$A,Summaries!$B202&amp;H$42,Inputs!$M:$M)</f>
        <v>30</v>
      </c>
      <c r="I202" s="82">
        <f>SUMIF(Inputs!$A:$A,Summaries!$B202&amp;I$42,Inputs!$M:$M)</f>
        <v>31</v>
      </c>
      <c r="J202" s="82">
        <f>SUMIF(Inputs!$A:$A,Summaries!$B202&amp;J$42,Inputs!$M:$M)</f>
        <v>32</v>
      </c>
      <c r="K202" s="82">
        <f>SUMIF(Inputs!$A:$A,Summaries!$B202&amp;K$42,Inputs!$M:$M)</f>
        <v>33</v>
      </c>
      <c r="L202" s="82">
        <f>SUMIF(Inputs!$A:$A,Summaries!$B202&amp;L$42,Inputs!$M:$M)</f>
        <v>34</v>
      </c>
      <c r="M202" s="82">
        <f>SUMIF(Inputs!$A:$A,Summaries!$B202&amp;M$42,Inputs!$M:$M)</f>
        <v>35</v>
      </c>
      <c r="N202" s="82">
        <f>SUMIF(Inputs!$A:$A,Summaries!$B202&amp;N$42,Inputs!$M:$M)</f>
        <v>36</v>
      </c>
    </row>
    <row r="203" spans="2:21" x14ac:dyDescent="0.2">
      <c r="B203" s="75">
        <f t="shared" si="51"/>
        <v>2016</v>
      </c>
      <c r="C203" s="82">
        <f>SUMIF(Inputs!$A:$A,Summaries!$B203&amp;C$42,Inputs!$M:$M)</f>
        <v>37</v>
      </c>
      <c r="D203" s="82">
        <f>SUMIF(Inputs!$A:$A,Summaries!$B203&amp;D$42,Inputs!$M:$M)</f>
        <v>38</v>
      </c>
      <c r="E203" s="82">
        <f>SUMIF(Inputs!$A:$A,Summaries!$B203&amp;E$42,Inputs!$M:$M)</f>
        <v>39</v>
      </c>
      <c r="F203" s="82">
        <f>SUMIF(Inputs!$A:$A,Summaries!$B203&amp;F$42,Inputs!$M:$M)</f>
        <v>40</v>
      </c>
      <c r="G203" s="82">
        <f>SUMIF(Inputs!$A:$A,Summaries!$B203&amp;G$42,Inputs!$M:$M)</f>
        <v>41</v>
      </c>
      <c r="H203" s="82">
        <f>SUMIF(Inputs!$A:$A,Summaries!$B203&amp;H$42,Inputs!$M:$M)</f>
        <v>42</v>
      </c>
      <c r="I203" s="82">
        <f>SUMIF(Inputs!$A:$A,Summaries!$B203&amp;I$42,Inputs!$M:$M)</f>
        <v>43</v>
      </c>
      <c r="J203" s="82">
        <f>SUMIF(Inputs!$A:$A,Summaries!$B203&amp;J$42,Inputs!$M:$M)</f>
        <v>44</v>
      </c>
      <c r="K203" s="82">
        <f>SUMIF(Inputs!$A:$A,Summaries!$B203&amp;K$42,Inputs!$M:$M)</f>
        <v>45</v>
      </c>
      <c r="L203" s="82">
        <f>SUMIF(Inputs!$A:$A,Summaries!$B203&amp;L$42,Inputs!$M:$M)</f>
        <v>46</v>
      </c>
      <c r="M203" s="82">
        <f>SUMIF(Inputs!$A:$A,Summaries!$B203&amp;M$42,Inputs!$M:$M)</f>
        <v>47</v>
      </c>
      <c r="N203" s="82">
        <f>SUMIF(Inputs!$A:$A,Summaries!$B203&amp;N$42,Inputs!$M:$M)</f>
        <v>48</v>
      </c>
    </row>
    <row r="204" spans="2:21" x14ac:dyDescent="0.2">
      <c r="B204" s="75">
        <f t="shared" si="51"/>
        <v>2017</v>
      </c>
      <c r="C204" s="82">
        <f>SUMIF(Inputs!$A:$A,Summaries!$B204&amp;C$42,Inputs!$M:$M)</f>
        <v>49</v>
      </c>
      <c r="D204" s="82">
        <f>SUMIF(Inputs!$A:$A,Summaries!$B204&amp;D$42,Inputs!$M:$M)</f>
        <v>50</v>
      </c>
      <c r="E204" s="82">
        <f>SUMIF(Inputs!$A:$A,Summaries!$B204&amp;E$42,Inputs!$M:$M)</f>
        <v>51</v>
      </c>
      <c r="F204" s="82">
        <f>SUMIF(Inputs!$A:$A,Summaries!$B204&amp;F$42,Inputs!$M:$M)</f>
        <v>52</v>
      </c>
      <c r="G204" s="82">
        <f>SUMIF(Inputs!$A:$A,Summaries!$B204&amp;G$42,Inputs!$M:$M)</f>
        <v>53</v>
      </c>
      <c r="H204" s="82">
        <f>SUMIF(Inputs!$A:$A,Summaries!$B204&amp;H$42,Inputs!$M:$M)</f>
        <v>54</v>
      </c>
      <c r="I204" s="82">
        <f>SUMIF(Inputs!$A:$A,Summaries!$B204&amp;I$42,Inputs!$M:$M)</f>
        <v>55</v>
      </c>
      <c r="J204" s="82">
        <f>SUMIF(Inputs!$A:$A,Summaries!$B204&amp;J$42,Inputs!$M:$M)</f>
        <v>56</v>
      </c>
      <c r="K204" s="82">
        <f>SUMIF(Inputs!$A:$A,Summaries!$B204&amp;K$42,Inputs!$M:$M)</f>
        <v>57</v>
      </c>
      <c r="L204" s="82">
        <f>SUMIF(Inputs!$A:$A,Summaries!$B204&amp;L$42,Inputs!$M:$M)</f>
        <v>58</v>
      </c>
      <c r="M204" s="82">
        <f>SUMIF(Inputs!$A:$A,Summaries!$B204&amp;M$42,Inputs!$M:$M)</f>
        <v>59</v>
      </c>
      <c r="N204" s="82">
        <f>SUMIF(Inputs!$A:$A,Summaries!$B204&amp;N$42,Inputs!$M:$M)</f>
        <v>60</v>
      </c>
    </row>
    <row r="205" spans="2:21" x14ac:dyDescent="0.2">
      <c r="B205" s="75">
        <f t="shared" si="51"/>
        <v>2018</v>
      </c>
      <c r="C205" s="82">
        <f>SUMIF(Inputs!$A:$A,Summaries!$B205&amp;C$42,Inputs!$M:$M)</f>
        <v>61</v>
      </c>
      <c r="D205" s="82">
        <f>SUMIF(Inputs!$A:$A,Summaries!$B205&amp;D$42,Inputs!$M:$M)</f>
        <v>62</v>
      </c>
      <c r="E205" s="82">
        <f>SUMIF(Inputs!$A:$A,Summaries!$B205&amp;E$42,Inputs!$M:$M)</f>
        <v>63</v>
      </c>
      <c r="F205" s="82">
        <f>SUMIF(Inputs!$A:$A,Summaries!$B205&amp;F$42,Inputs!$M:$M)</f>
        <v>64</v>
      </c>
      <c r="G205" s="82">
        <f>SUMIF(Inputs!$A:$A,Summaries!$B205&amp;G$42,Inputs!$M:$M)</f>
        <v>65</v>
      </c>
      <c r="H205" s="82">
        <f>SUMIF(Inputs!$A:$A,Summaries!$B205&amp;H$42,Inputs!$M:$M)</f>
        <v>66</v>
      </c>
      <c r="I205" s="82">
        <f>SUMIF(Inputs!$A:$A,Summaries!$B205&amp;I$42,Inputs!$M:$M)</f>
        <v>67</v>
      </c>
      <c r="J205" s="82">
        <f>SUMIF(Inputs!$A:$A,Summaries!$B205&amp;J$42,Inputs!$M:$M)</f>
        <v>68</v>
      </c>
      <c r="K205" s="82">
        <f>SUMIF(Inputs!$A:$A,Summaries!$B205&amp;K$42,Inputs!$M:$M)</f>
        <v>69</v>
      </c>
      <c r="L205" s="82">
        <f>SUMIF(Inputs!$A:$A,Summaries!$B205&amp;L$42,Inputs!$M:$M)</f>
        <v>70</v>
      </c>
      <c r="M205" s="82">
        <f>SUMIF(Inputs!$A:$A,Summaries!$B205&amp;M$42,Inputs!$M:$M)</f>
        <v>71</v>
      </c>
      <c r="N205" s="82">
        <f>SUMIF(Inputs!$A:$A,Summaries!$B205&amp;N$42,Inputs!$M:$M)</f>
        <v>72</v>
      </c>
    </row>
    <row r="206" spans="2:21" x14ac:dyDescent="0.2">
      <c r="B206" s="75">
        <f t="shared" si="51"/>
        <v>2019</v>
      </c>
      <c r="C206" s="82">
        <f>SUMIF(Inputs!$A:$A,Summaries!$B206&amp;C$42,Inputs!$M:$M)</f>
        <v>73</v>
      </c>
      <c r="D206" s="82">
        <f>SUMIF(Inputs!$A:$A,Summaries!$B206&amp;D$42,Inputs!$M:$M)</f>
        <v>74</v>
      </c>
      <c r="E206" s="82">
        <f>SUMIF(Inputs!$A:$A,Summaries!$B206&amp;E$42,Inputs!$M:$M)</f>
        <v>75</v>
      </c>
      <c r="F206" s="82">
        <f>SUMIF(Inputs!$A:$A,Summaries!$B206&amp;F$42,Inputs!$M:$M)</f>
        <v>76</v>
      </c>
      <c r="G206" s="82">
        <f>SUMIF(Inputs!$A:$A,Summaries!$B206&amp;G$42,Inputs!$M:$M)</f>
        <v>77</v>
      </c>
      <c r="H206" s="82">
        <f>SUMIF(Inputs!$A:$A,Summaries!$B206&amp;H$42,Inputs!$M:$M)</f>
        <v>78</v>
      </c>
      <c r="I206" s="82">
        <f>SUMIF(Inputs!$A:$A,Summaries!$B206&amp;I$42,Inputs!$M:$M)</f>
        <v>79</v>
      </c>
      <c r="J206" s="82">
        <f>SUMIF(Inputs!$A:$A,Summaries!$B206&amp;J$42,Inputs!$M:$M)</f>
        <v>80</v>
      </c>
      <c r="K206" s="82">
        <f>SUMIF(Inputs!$A:$A,Summaries!$B206&amp;K$42,Inputs!$M:$M)</f>
        <v>81</v>
      </c>
      <c r="L206" s="82">
        <f>SUMIF(Inputs!$A:$A,Summaries!$B206&amp;L$42,Inputs!$M:$M)</f>
        <v>82</v>
      </c>
      <c r="M206" s="82">
        <f>SUMIF(Inputs!$A:$A,Summaries!$B206&amp;M$42,Inputs!$M:$M)</f>
        <v>83</v>
      </c>
      <c r="N206" s="82">
        <f>SUMIF(Inputs!$A:$A,Summaries!$B206&amp;N$42,Inputs!$M:$M)</f>
        <v>84</v>
      </c>
    </row>
    <row r="207" spans="2:21" x14ac:dyDescent="0.2">
      <c r="B207" s="75">
        <f t="shared" si="51"/>
        <v>2020</v>
      </c>
      <c r="C207" s="82">
        <f>SUMIF(Inputs!$A:$A,Summaries!$B207&amp;C$42,Inputs!$M:$M)</f>
        <v>85</v>
      </c>
      <c r="D207" s="82">
        <f>SUMIF(Inputs!$A:$A,Summaries!$B207&amp;D$42,Inputs!$M:$M)</f>
        <v>86</v>
      </c>
      <c r="E207" s="82">
        <f>SUMIF(Inputs!$A:$A,Summaries!$B207&amp;E$42,Inputs!$M:$M)</f>
        <v>87</v>
      </c>
      <c r="F207" s="82">
        <f>SUMIF(Inputs!$A:$A,Summaries!$B207&amp;F$42,Inputs!$M:$M)</f>
        <v>88</v>
      </c>
      <c r="G207" s="82">
        <f>SUMIF(Inputs!$A:$A,Summaries!$B207&amp;G$42,Inputs!$M:$M)</f>
        <v>89</v>
      </c>
      <c r="H207" s="82">
        <f>SUMIF(Inputs!$A:$A,Summaries!$B207&amp;H$42,Inputs!$M:$M)</f>
        <v>90</v>
      </c>
      <c r="I207" s="82">
        <f>SUMIF(Inputs!$A:$A,Summaries!$B207&amp;I$42,Inputs!$M:$M)</f>
        <v>91</v>
      </c>
      <c r="J207" s="82">
        <f>SUMIF(Inputs!$A:$A,Summaries!$B207&amp;J$42,Inputs!$M:$M)</f>
        <v>92</v>
      </c>
      <c r="K207" s="82">
        <f>SUMIF(Inputs!$A:$A,Summaries!$B207&amp;K$42,Inputs!$M:$M)</f>
        <v>93</v>
      </c>
      <c r="L207" s="82">
        <f>SUMIF(Inputs!$A:$A,Summaries!$B207&amp;L$42,Inputs!$M:$M)</f>
        <v>94</v>
      </c>
      <c r="M207" s="82">
        <f>SUMIF(Inputs!$A:$A,Summaries!$B207&amp;M$42,Inputs!$M:$M)</f>
        <v>95</v>
      </c>
      <c r="N207" s="82">
        <f>SUMIF(Inputs!$A:$A,Summaries!$B207&amp;N$42,Inputs!$M:$M)</f>
        <v>96</v>
      </c>
    </row>
    <row r="208" spans="2:21" x14ac:dyDescent="0.2">
      <c r="B208" s="75">
        <f t="shared" si="51"/>
        <v>2021</v>
      </c>
      <c r="C208" s="82">
        <f>SUMIF(Inputs!$A:$A,Summaries!$B208&amp;C$42,Inputs!$M:$M)</f>
        <v>97</v>
      </c>
      <c r="D208" s="82">
        <f>SUMIF(Inputs!$A:$A,Summaries!$B208&amp;D$42,Inputs!$M:$M)</f>
        <v>98</v>
      </c>
      <c r="E208" s="82">
        <f>SUMIF(Inputs!$A:$A,Summaries!$B208&amp;E$42,Inputs!$M:$M)</f>
        <v>99</v>
      </c>
      <c r="F208" s="82">
        <f>SUMIF(Inputs!$A:$A,Summaries!$B208&amp;F$42,Inputs!$M:$M)</f>
        <v>100</v>
      </c>
      <c r="G208" s="82">
        <f>SUMIF(Inputs!$A:$A,Summaries!$B208&amp;G$42,Inputs!$M:$M)</f>
        <v>101</v>
      </c>
      <c r="H208" s="82">
        <f>SUMIF(Inputs!$A:$A,Summaries!$B208&amp;H$42,Inputs!$M:$M)</f>
        <v>102</v>
      </c>
      <c r="I208" s="82">
        <f>SUMIF(Inputs!$A:$A,Summaries!$B208&amp;I$42,Inputs!$M:$M)</f>
        <v>103</v>
      </c>
      <c r="J208" s="82">
        <f>SUMIF(Inputs!$A:$A,Summaries!$B208&amp;J$42,Inputs!$M:$M)</f>
        <v>104</v>
      </c>
      <c r="K208" s="82">
        <f>SUMIF(Inputs!$A:$A,Summaries!$B208&amp;K$42,Inputs!$M:$M)</f>
        <v>105</v>
      </c>
      <c r="L208" s="82">
        <f>SUMIF(Inputs!$A:$A,Summaries!$B208&amp;L$42,Inputs!$M:$M)</f>
        <v>106</v>
      </c>
      <c r="M208" s="82">
        <f>SUMIF(Inputs!$A:$A,Summaries!$B208&amp;M$42,Inputs!$M:$M)</f>
        <v>107</v>
      </c>
      <c r="N208" s="82">
        <f>SUMIF(Inputs!$A:$A,Summaries!$B208&amp;N$42,Inputs!$M:$M)</f>
        <v>108</v>
      </c>
    </row>
    <row r="209" spans="2:16" x14ac:dyDescent="0.2">
      <c r="B209" s="75">
        <f t="shared" si="51"/>
        <v>2022</v>
      </c>
      <c r="C209" s="82">
        <f>SUMIF(Inputs!$A:$A,Summaries!$B209&amp;C$42,Inputs!$M:$M)</f>
        <v>109</v>
      </c>
      <c r="D209" s="82">
        <f>SUMIF(Inputs!$A:$A,Summaries!$B209&amp;D$42,Inputs!$M:$M)</f>
        <v>110</v>
      </c>
      <c r="E209" s="82">
        <f>SUMIF(Inputs!$A:$A,Summaries!$B209&amp;E$42,Inputs!$M:$M)</f>
        <v>111</v>
      </c>
      <c r="F209" s="82">
        <f>SUMIF(Inputs!$A:$A,Summaries!$B209&amp;F$42,Inputs!$M:$M)</f>
        <v>112</v>
      </c>
      <c r="G209" s="82">
        <f>SUMIF(Inputs!$A:$A,Summaries!$B209&amp;G$42,Inputs!$M:$M)</f>
        <v>113</v>
      </c>
      <c r="H209" s="82">
        <f>SUMIF(Inputs!$A:$A,Summaries!$B209&amp;H$42,Inputs!$M:$M)</f>
        <v>114</v>
      </c>
      <c r="I209" s="82">
        <f>SUMIF(Inputs!$A:$A,Summaries!$B209&amp;I$42,Inputs!$M:$M)</f>
        <v>115</v>
      </c>
      <c r="J209" s="82">
        <f>SUMIF(Inputs!$A:$A,Summaries!$B209&amp;J$42,Inputs!$M:$M)</f>
        <v>116</v>
      </c>
      <c r="K209" s="82">
        <f>SUMIF(Inputs!$A:$A,Summaries!$B209&amp;K$42,Inputs!$M:$M)</f>
        <v>117</v>
      </c>
      <c r="L209" s="82">
        <f>SUMIF(Inputs!$A:$A,Summaries!$B209&amp;L$42,Inputs!$M:$M)</f>
        <v>118</v>
      </c>
      <c r="M209" s="82">
        <f>SUMIF(Inputs!$A:$A,Summaries!$B209&amp;M$42,Inputs!$M:$M)</f>
        <v>119</v>
      </c>
      <c r="N209" s="82">
        <f>SUMIF(Inputs!$A:$A,Summaries!$B209&amp;N$42,Inputs!$M:$M)</f>
        <v>120</v>
      </c>
    </row>
    <row r="210" spans="2:16" x14ac:dyDescent="0.2">
      <c r="B210" s="84" t="s">
        <v>155</v>
      </c>
      <c r="C210" s="86">
        <v>120</v>
      </c>
      <c r="D210" s="86">
        <v>120</v>
      </c>
      <c r="E210" s="86">
        <v>120</v>
      </c>
      <c r="F210" s="86">
        <v>120</v>
      </c>
      <c r="G210" s="86">
        <v>120</v>
      </c>
      <c r="H210" s="86">
        <v>120</v>
      </c>
      <c r="I210" s="86">
        <v>120</v>
      </c>
      <c r="J210" s="86">
        <v>120</v>
      </c>
      <c r="K210" s="86">
        <v>120</v>
      </c>
      <c r="L210" s="86">
        <v>120</v>
      </c>
      <c r="M210" s="86">
        <v>120</v>
      </c>
      <c r="N210" s="86">
        <v>120</v>
      </c>
      <c r="O210" s="47"/>
      <c r="P210" s="47"/>
    </row>
    <row r="211" spans="2:16" x14ac:dyDescent="0.2">
      <c r="B211" s="84" t="s">
        <v>156</v>
      </c>
      <c r="C211" s="86">
        <v>120</v>
      </c>
      <c r="D211" s="86">
        <v>120</v>
      </c>
      <c r="E211" s="86">
        <v>120</v>
      </c>
      <c r="F211" s="86">
        <v>120</v>
      </c>
      <c r="G211" s="86">
        <v>120</v>
      </c>
      <c r="H211" s="86">
        <v>120</v>
      </c>
      <c r="I211" s="86">
        <v>120</v>
      </c>
      <c r="J211" s="86">
        <v>120</v>
      </c>
      <c r="K211" s="86">
        <v>120</v>
      </c>
      <c r="L211" s="86">
        <v>120</v>
      </c>
      <c r="M211" s="86">
        <v>120</v>
      </c>
      <c r="N211" s="86">
        <v>120</v>
      </c>
      <c r="O211" s="47"/>
      <c r="P211" s="47"/>
    </row>
    <row r="216" spans="2:16" ht="38.25" x14ac:dyDescent="0.2">
      <c r="B216" s="76" t="s">
        <v>190</v>
      </c>
      <c r="C216" s="76" t="s">
        <v>188</v>
      </c>
      <c r="D216" s="76" t="s">
        <v>189</v>
      </c>
    </row>
    <row r="217" spans="2:16" x14ac:dyDescent="0.2">
      <c r="B217" s="130" t="str">
        <f>+'Purchased Power Model'!Q5</f>
        <v>Multiple R</v>
      </c>
      <c r="C217" s="127">
        <f>+'Purchased Power Model'!R5</f>
        <v>0.95903034844094093</v>
      </c>
      <c r="D217" s="82">
        <f>SUMIF(Inputs!$A:$A,Summaries!$B217&amp;D$42,Inputs!$M:$M)</f>
        <v>0</v>
      </c>
    </row>
    <row r="218" spans="2:16" x14ac:dyDescent="0.2">
      <c r="B218" s="130" t="str">
        <f>+'Purchased Power Model'!Q6</f>
        <v>R Square</v>
      </c>
      <c r="C218" s="127">
        <f>+'Purchased Power Model'!R6</f>
        <v>0.91973920923075259</v>
      </c>
      <c r="D218" s="82">
        <f>SUMIF(Inputs!$A:$A,Summaries!$B218&amp;D$42,Inputs!$M:$M)</f>
        <v>0</v>
      </c>
    </row>
    <row r="219" spans="2:16" x14ac:dyDescent="0.2">
      <c r="B219" s="130" t="str">
        <f>+'Purchased Power Model'!Q7</f>
        <v>Adjusted R Square</v>
      </c>
      <c r="C219" s="127">
        <f>+'Purchased Power Model'!R7</f>
        <v>0.9150960229879036</v>
      </c>
      <c r="D219" s="82">
        <f>SUMIF(Inputs!$A:$A,Summaries!$B219&amp;D$42,Inputs!$M:$M)</f>
        <v>0</v>
      </c>
    </row>
    <row r="220" spans="2:16" x14ac:dyDescent="0.2">
      <c r="B220" s="130" t="str">
        <f>+'Purchased Power Model'!Q8</f>
        <v>Standard Error</v>
      </c>
      <c r="C220" s="128">
        <f>+'Purchased Power Model'!R8</f>
        <v>430732.82162045367</v>
      </c>
      <c r="D220" s="82">
        <f>SUMIF(Inputs!$A:$A,Summaries!$B220&amp;D$42,Inputs!$M:$M)</f>
        <v>0</v>
      </c>
    </row>
    <row r="221" spans="2:16" x14ac:dyDescent="0.2">
      <c r="B221" s="130" t="str">
        <f>+'Purchased Power Model'!Q9</f>
        <v>Observations</v>
      </c>
      <c r="C221" s="75">
        <f>+'Purchased Power Model'!R9</f>
        <v>129</v>
      </c>
      <c r="D221" s="82">
        <f>SUMIF(Inputs!$A:$A,Summaries!$B221&amp;D$42,Inputs!$M:$M)</f>
        <v>0</v>
      </c>
    </row>
    <row r="224" spans="2:16" ht="25.5" x14ac:dyDescent="0.2">
      <c r="B224" s="76"/>
      <c r="C224" s="76" t="str">
        <f>+'Purchased Power Model'!R12</f>
        <v>df</v>
      </c>
      <c r="D224" s="76" t="str">
        <f>+'Purchased Power Model'!S12</f>
        <v>SS</v>
      </c>
      <c r="E224" s="76" t="str">
        <f>+'Purchased Power Model'!T12</f>
        <v>MS</v>
      </c>
      <c r="F224" s="76" t="str">
        <f>+'Purchased Power Model'!U12</f>
        <v>F</v>
      </c>
      <c r="G224" s="76" t="str">
        <f>+'Purchased Power Model'!V12</f>
        <v>Significance F</v>
      </c>
    </row>
    <row r="225" spans="2:10" x14ac:dyDescent="0.2">
      <c r="B225" s="130" t="str">
        <f>+'Purchased Power Model'!Q13</f>
        <v>Regression</v>
      </c>
      <c r="C225" s="132">
        <f>+'Purchased Power Model'!R13</f>
        <v>7</v>
      </c>
      <c r="D225" s="132">
        <f>+'Purchased Power Model'!S13</f>
        <v>257254256510961.56</v>
      </c>
      <c r="E225" s="132">
        <f>+'Purchased Power Model'!T13</f>
        <v>36750608072994.508</v>
      </c>
      <c r="F225" s="131">
        <f>+'Purchased Power Model'!U13</f>
        <v>198.08363505712137</v>
      </c>
      <c r="G225" s="131">
        <f>+'Purchased Power Model'!V13</f>
        <v>3.9524965411125393E-63</v>
      </c>
      <c r="I225" s="47" t="s">
        <v>194</v>
      </c>
    </row>
    <row r="226" spans="2:10" x14ac:dyDescent="0.2">
      <c r="B226" s="130" t="str">
        <f>+'Purchased Power Model'!Q14</f>
        <v>Residual</v>
      </c>
      <c r="C226" s="132">
        <f>+'Purchased Power Model'!R14</f>
        <v>121</v>
      </c>
      <c r="D226" s="132">
        <f>+'Purchased Power Model'!S14</f>
        <v>22449222398155.227</v>
      </c>
      <c r="E226" s="132">
        <f>+'Purchased Power Model'!T14</f>
        <v>185530763621.11758</v>
      </c>
      <c r="F226" s="131">
        <f>+'Purchased Power Model'!U14</f>
        <v>0</v>
      </c>
      <c r="G226" s="131">
        <f>+'Purchased Power Model'!V14</f>
        <v>0</v>
      </c>
    </row>
    <row r="227" spans="2:10" x14ac:dyDescent="0.2">
      <c r="B227" s="130" t="str">
        <f>+'Purchased Power Model'!Q15</f>
        <v>Total</v>
      </c>
      <c r="C227" s="132">
        <f>+'Purchased Power Model'!R15</f>
        <v>128</v>
      </c>
      <c r="D227" s="132">
        <f>+'Purchased Power Model'!S15</f>
        <v>279703478909116.78</v>
      </c>
      <c r="E227" s="132">
        <f>+'Purchased Power Model'!T15</f>
        <v>0</v>
      </c>
      <c r="F227" s="131">
        <f>+'Purchased Power Model'!U15</f>
        <v>0</v>
      </c>
      <c r="G227" s="131">
        <f>+'Purchased Power Model'!V15</f>
        <v>0</v>
      </c>
    </row>
    <row r="232" spans="2:10" x14ac:dyDescent="0.2">
      <c r="B232" s="254" t="s">
        <v>191</v>
      </c>
      <c r="C232" s="259"/>
      <c r="D232" s="259"/>
      <c r="E232" s="259"/>
      <c r="F232" s="259"/>
      <c r="G232" s="259"/>
      <c r="H232" s="259"/>
      <c r="I232" s="259"/>
      <c r="J232" s="256"/>
    </row>
    <row r="233" spans="2:10" ht="25.5" customHeight="1" x14ac:dyDescent="0.2">
      <c r="B233" s="76" t="s">
        <v>187</v>
      </c>
      <c r="C233" s="76" t="str">
        <f>+'Purchased Power Model'!R17</f>
        <v>Coefficients</v>
      </c>
      <c r="D233" s="76" t="str">
        <f>+'Purchased Power Model'!S17</f>
        <v>Standard Error</v>
      </c>
      <c r="E233" s="76" t="str">
        <f>+'Purchased Power Model'!T17</f>
        <v>t Stat</v>
      </c>
      <c r="F233" s="76" t="str">
        <f>+'Purchased Power Model'!U17</f>
        <v>P-value</v>
      </c>
      <c r="G233" s="76" t="str">
        <f>+'Purchased Power Model'!V17</f>
        <v>Lower 95%</v>
      </c>
      <c r="H233" s="76" t="str">
        <f>+'Purchased Power Model'!W17</f>
        <v>Upper 95%</v>
      </c>
      <c r="I233" s="76" t="str">
        <f>+'Purchased Power Model'!X17</f>
        <v>Lower 95.0%</v>
      </c>
      <c r="J233" s="76" t="str">
        <f>+'Purchased Power Model'!Y17</f>
        <v>Upper 95.0%</v>
      </c>
    </row>
    <row r="234" spans="2:10" x14ac:dyDescent="0.2">
      <c r="B234" s="130" t="str">
        <f>+'Purchased Power Model'!Q18</f>
        <v>Intercept</v>
      </c>
      <c r="C234" s="129">
        <f>+'Purchased Power Model'!R18</f>
        <v>2047147.0081127379</v>
      </c>
      <c r="D234" s="129">
        <f>+'Purchased Power Model'!S18</f>
        <v>1446328.9748517803</v>
      </c>
      <c r="E234" s="128">
        <f>+'Purchased Power Model'!T18</f>
        <v>1.4154089724452414</v>
      </c>
      <c r="F234" s="128">
        <f>+'Purchased Power Model'!U18</f>
        <v>0.1595172915722288</v>
      </c>
      <c r="G234" s="129">
        <f>+'Purchased Power Model'!V18</f>
        <v>-816242.68496037927</v>
      </c>
      <c r="H234" s="129">
        <f>+'Purchased Power Model'!W18</f>
        <v>4910536.7011858551</v>
      </c>
      <c r="I234" s="129">
        <f>+'Purchased Power Model'!X18</f>
        <v>-816242.68496037927</v>
      </c>
      <c r="J234" s="129">
        <f>+'Purchased Power Model'!Y18</f>
        <v>4910536.7011858551</v>
      </c>
    </row>
    <row r="235" spans="2:10" x14ac:dyDescent="0.2">
      <c r="B235" s="130" t="str">
        <f>+'Purchased Power Model'!Q19</f>
        <v>Heating Degree Days</v>
      </c>
      <c r="C235" s="129">
        <f>+'Purchased Power Model'!R19</f>
        <v>5812.3485800302078</v>
      </c>
      <c r="D235" s="129">
        <f>+'Purchased Power Model'!S19</f>
        <v>265.71519775024262</v>
      </c>
      <c r="E235" s="128">
        <f>+'Purchased Power Model'!T19</f>
        <v>21.874355058507</v>
      </c>
      <c r="F235" s="128">
        <f>+'Purchased Power Model'!U19</f>
        <v>7.2533282621251701E-44</v>
      </c>
      <c r="G235" s="129">
        <f>+'Purchased Power Model'!V19</f>
        <v>5286.2952603773247</v>
      </c>
      <c r="H235" s="129">
        <f>+'Purchased Power Model'!W19</f>
        <v>6338.401899683091</v>
      </c>
      <c r="I235" s="129">
        <f>+'Purchased Power Model'!X19</f>
        <v>5286.2952603773247</v>
      </c>
      <c r="J235" s="129">
        <f>+'Purchased Power Model'!Y19</f>
        <v>6338.401899683091</v>
      </c>
    </row>
    <row r="236" spans="2:10" x14ac:dyDescent="0.2">
      <c r="B236" s="130" t="str">
        <f>+'Purchased Power Model'!Q20</f>
        <v>Cooling Degree Days</v>
      </c>
      <c r="C236" s="129">
        <f>+'Purchased Power Model'!R20</f>
        <v>24445.586018494676</v>
      </c>
      <c r="D236" s="129">
        <f>+'Purchased Power Model'!S20</f>
        <v>1489.1787584371727</v>
      </c>
      <c r="E236" s="128">
        <f>+'Purchased Power Model'!T20</f>
        <v>16.415481271133118</v>
      </c>
      <c r="F236" s="128">
        <f>+'Purchased Power Model'!U20</f>
        <v>1.4328848198885017E-32</v>
      </c>
      <c r="G236" s="129">
        <f>+'Purchased Power Model'!V20</f>
        <v>21497.363876648</v>
      </c>
      <c r="H236" s="129">
        <f>+'Purchased Power Model'!W20</f>
        <v>27393.808160341352</v>
      </c>
      <c r="I236" s="129">
        <f>+'Purchased Power Model'!X20</f>
        <v>21497.363876648</v>
      </c>
      <c r="J236" s="129">
        <f>+'Purchased Power Model'!Y20</f>
        <v>27393.808160341352</v>
      </c>
    </row>
    <row r="237" spans="2:10" x14ac:dyDescent="0.2">
      <c r="B237" s="130" t="s">
        <v>192</v>
      </c>
      <c r="C237" s="129">
        <f>+'Purchased Power Model'!R21</f>
        <v>420568.0277416638</v>
      </c>
      <c r="D237" s="129">
        <f>+'Purchased Power Model'!S21</f>
        <v>54005.067660489563</v>
      </c>
      <c r="E237" s="128">
        <f>+'Purchased Power Model'!T21</f>
        <v>7.7875659815042493</v>
      </c>
      <c r="F237" s="128">
        <f>+'Purchased Power Model'!U21</f>
        <v>2.6085701075388535E-12</v>
      </c>
      <c r="G237" s="129">
        <f>+'Purchased Power Model'!V21</f>
        <v>313650.75179577508</v>
      </c>
      <c r="H237" s="129">
        <f>+'Purchased Power Model'!W21</f>
        <v>527485.30368755246</v>
      </c>
      <c r="I237" s="129">
        <f>+'Purchased Power Model'!X21</f>
        <v>313650.75179577508</v>
      </c>
      <c r="J237" s="129">
        <f>+'Purchased Power Model'!Y21</f>
        <v>527485.30368755246</v>
      </c>
    </row>
    <row r="238" spans="2:10" x14ac:dyDescent="0.2">
      <c r="B238" s="130" t="str">
        <f>+'Purchased Power Model'!Q22</f>
        <v>Spring Fall Flag</v>
      </c>
      <c r="C238" s="129">
        <f>+'Purchased Power Model'!R22</f>
        <v>-526294.38178580569</v>
      </c>
      <c r="D238" s="129">
        <f>+'Purchased Power Model'!S22</f>
        <v>130284.16228637649</v>
      </c>
      <c r="E238" s="128">
        <f>+'Purchased Power Model'!T22</f>
        <v>-4.0395883317648584</v>
      </c>
      <c r="F238" s="128">
        <f>+'Purchased Power Model'!U22</f>
        <v>9.4408620402983024E-5</v>
      </c>
      <c r="G238" s="129">
        <f>+'Purchased Power Model'!V22</f>
        <v>-784226.2451087446</v>
      </c>
      <c r="H238" s="129">
        <f>+'Purchased Power Model'!W22</f>
        <v>-268362.51846286678</v>
      </c>
      <c r="I238" s="129">
        <f>+'Purchased Power Model'!X22</f>
        <v>-784226.2451087446</v>
      </c>
      <c r="J238" s="129">
        <f>+'Purchased Power Model'!Y22</f>
        <v>-268362.51846286678</v>
      </c>
    </row>
    <row r="239" spans="2:10" x14ac:dyDescent="0.2">
      <c r="B239" s="130" t="s">
        <v>193</v>
      </c>
      <c r="C239" s="129">
        <f>+'Purchased Power Model'!R23</f>
        <v>11081.37417902288</v>
      </c>
      <c r="D239" s="129">
        <f>+'Purchased Power Model'!S23</f>
        <v>2510.8297716363045</v>
      </c>
      <c r="E239" s="128">
        <f>+'Purchased Power Model'!T23</f>
        <v>4.4134310912687491</v>
      </c>
      <c r="F239" s="128">
        <f>+'Purchased Power Model'!U23</f>
        <v>2.2238654028005791E-5</v>
      </c>
      <c r="G239" s="129">
        <f>+'Purchased Power Model'!V23</f>
        <v>6110.5243833176519</v>
      </c>
      <c r="H239" s="129">
        <f>+'Purchased Power Model'!W23</f>
        <v>16052.223974728107</v>
      </c>
      <c r="I239" s="129">
        <f>+'Purchased Power Model'!X23</f>
        <v>6110.5243833176519</v>
      </c>
      <c r="J239" s="129">
        <f>+'Purchased Power Model'!Y23</f>
        <v>16052.223974728107</v>
      </c>
    </row>
    <row r="240" spans="2:10" x14ac:dyDescent="0.2">
      <c r="B240" s="130" t="str">
        <f>+'Purchased Power Model'!Q24</f>
        <v>covid Flag</v>
      </c>
      <c r="C240" s="129">
        <f>+'Purchased Power Model'!R24</f>
        <v>-2321458.3690313813</v>
      </c>
      <c r="D240" s="129">
        <f>+'Purchased Power Model'!S24</f>
        <v>436829.35023958178</v>
      </c>
      <c r="E240" s="128">
        <f>+'Purchased Power Model'!T24</f>
        <v>-5.3143369779483978</v>
      </c>
      <c r="F240" s="128">
        <f>+'Purchased Power Model'!U24</f>
        <v>4.9569089018253281E-7</v>
      </c>
      <c r="G240" s="129">
        <f>+'Purchased Power Model'!V24</f>
        <v>-3186277.2870344785</v>
      </c>
      <c r="H240" s="129">
        <f>+'Purchased Power Model'!W24</f>
        <v>-1456639.4510282842</v>
      </c>
      <c r="I240" s="129">
        <f>+'Purchased Power Model'!X24</f>
        <v>-3186277.2870344785</v>
      </c>
      <c r="J240" s="129">
        <f>+'Purchased Power Model'!Y24</f>
        <v>-1456639.4510282842</v>
      </c>
    </row>
    <row r="241" spans="2:10" x14ac:dyDescent="0.2">
      <c r="B241" s="130" t="str">
        <f>+'Purchased Power Model'!Q25</f>
        <v>Trend</v>
      </c>
      <c r="C241" s="129">
        <f>+'Purchased Power Model'!R25</f>
        <v>15134.453019975965</v>
      </c>
      <c r="D241" s="129">
        <f>+'Purchased Power Model'!S25</f>
        <v>1025.1797641226826</v>
      </c>
      <c r="E241" s="128">
        <f>+'Purchased Power Model'!T25</f>
        <v>14.76273093717136</v>
      </c>
      <c r="F241" s="128">
        <f>+'Purchased Power Model'!U25</f>
        <v>7.75936470914612E-29</v>
      </c>
      <c r="G241" s="129">
        <f>+'Purchased Power Model'!V25</f>
        <v>13104.839272912059</v>
      </c>
      <c r="H241" s="129">
        <f>+'Purchased Power Model'!W25</f>
        <v>17164.066767039869</v>
      </c>
      <c r="I241" s="129">
        <f>+'Purchased Power Model'!X25</f>
        <v>13104.839272912059</v>
      </c>
      <c r="J241" s="129">
        <f>+'Purchased Power Model'!Y25</f>
        <v>17164.066767039869</v>
      </c>
    </row>
    <row r="243" spans="2:10" x14ac:dyDescent="0.2">
      <c r="B243" s="47" t="s">
        <v>195</v>
      </c>
    </row>
    <row r="244" spans="2:10" ht="38.25" x14ac:dyDescent="0.2">
      <c r="B244" s="95" t="s">
        <v>111</v>
      </c>
      <c r="C244" s="76" t="s">
        <v>100</v>
      </c>
      <c r="D244" s="76" t="s">
        <v>112</v>
      </c>
      <c r="E244" s="96" t="s">
        <v>113</v>
      </c>
      <c r="F244" s="96" t="s">
        <v>114</v>
      </c>
      <c r="G244" s="96" t="s">
        <v>68</v>
      </c>
      <c r="H244" s="76" t="s">
        <v>196</v>
      </c>
      <c r="I244" s="96" t="s">
        <v>11</v>
      </c>
    </row>
    <row r="245" spans="2:10" x14ac:dyDescent="0.2">
      <c r="B245" s="88" t="s">
        <v>183</v>
      </c>
      <c r="C245" s="135">
        <v>1.0118E-2</v>
      </c>
      <c r="D245" s="135">
        <v>1.0147E-2</v>
      </c>
      <c r="E245" s="135">
        <v>9.8689999999999993E-3</v>
      </c>
      <c r="F245" s="135">
        <v>1.0102999999999999E-2</v>
      </c>
      <c r="G245" s="135">
        <v>9.9520000000000008E-3</v>
      </c>
      <c r="H245" s="135">
        <v>9.7599999999999996E-3</v>
      </c>
      <c r="I245" s="135">
        <f t="shared" ref="I245:I257" si="52">SUM(C245:H245)</f>
        <v>5.9948999999999995E-2</v>
      </c>
    </row>
    <row r="246" spans="2:10" x14ac:dyDescent="0.2">
      <c r="B246" s="75">
        <f t="shared" ref="B246:B253" si="53">+B247-1</f>
        <v>2013</v>
      </c>
      <c r="C246" s="134"/>
      <c r="D246" s="134"/>
      <c r="E246" s="134"/>
      <c r="F246" s="134"/>
      <c r="G246" s="134"/>
      <c r="H246" s="134"/>
      <c r="I246" s="134"/>
    </row>
    <row r="247" spans="2:10" x14ac:dyDescent="0.2">
      <c r="B247" s="75">
        <f t="shared" si="53"/>
        <v>2014</v>
      </c>
      <c r="C247" s="134">
        <f>+'Rate Class Customer Model'!B26/100</f>
        <v>1.0129836215408972E-2</v>
      </c>
      <c r="D247" s="134">
        <f>+'Rate Class Customer Model'!C26/100</f>
        <v>1.0139538335931121E-2</v>
      </c>
      <c r="E247" s="134">
        <f>+'Rate Class Customer Model'!D26/100</f>
        <v>1.0594919786096257E-2</v>
      </c>
      <c r="F247" s="134">
        <f>+'Rate Class Customer Model'!E26/100</f>
        <v>1.0146582182380938E-2</v>
      </c>
      <c r="G247" s="134">
        <f>+'Rate Class Customer Model'!F26/100</f>
        <v>9.754273504273504E-3</v>
      </c>
      <c r="H247" s="134">
        <f>+'Rate Class Customer Model'!G26/100</f>
        <v>1.0024096385542169E-2</v>
      </c>
      <c r="I247" s="134">
        <f t="shared" si="52"/>
        <v>6.0789246409632965E-2</v>
      </c>
    </row>
    <row r="248" spans="2:10" x14ac:dyDescent="0.2">
      <c r="B248" s="75">
        <f t="shared" si="53"/>
        <v>2015</v>
      </c>
      <c r="C248" s="134">
        <f>+'Rate Class Customer Model'!B27/100</f>
        <v>1.0152662531217273E-2</v>
      </c>
      <c r="D248" s="134">
        <f>+'Rate Class Customer Model'!C27/100</f>
        <v>9.9590073933094204E-3</v>
      </c>
      <c r="E248" s="134">
        <f>+'Rate Class Customer Model'!D27/100</f>
        <v>1.0504731861198737E-2</v>
      </c>
      <c r="F248" s="134">
        <f>+'Rate Class Customer Model'!E27/100</f>
        <v>1.0070793404126737E-2</v>
      </c>
      <c r="G248" s="134">
        <f>+'Rate Class Customer Model'!F27/100</f>
        <v>9.9123767798466617E-3</v>
      </c>
      <c r="H248" s="134">
        <f>+'Rate Class Customer Model'!G27/100</f>
        <v>9.2788461538461549E-3</v>
      </c>
      <c r="I248" s="134">
        <f t="shared" si="52"/>
        <v>5.9878418123544982E-2</v>
      </c>
    </row>
    <row r="249" spans="2:10" x14ac:dyDescent="0.2">
      <c r="B249" s="75">
        <f t="shared" si="53"/>
        <v>2016</v>
      </c>
      <c r="C249" s="134">
        <f>+'Rate Class Customer Model'!B28/100</f>
        <v>1.0125689347351717E-2</v>
      </c>
      <c r="D249" s="134">
        <f>+'Rate Class Customer Model'!C28/100</f>
        <v>9.994119808893788E-3</v>
      </c>
      <c r="E249" s="134">
        <f>+'Rate Class Customer Model'!D28/100</f>
        <v>1.0084084084084084E-2</v>
      </c>
      <c r="F249" s="134">
        <f>+'Rate Class Customer Model'!E28/100</f>
        <v>9.7805400771538778E-3</v>
      </c>
      <c r="G249" s="134">
        <f>+'Rate Class Customer Model'!F28/100</f>
        <v>1.0104972375690606E-2</v>
      </c>
      <c r="H249" s="134">
        <f>+'Rate Class Customer Model'!G28/100</f>
        <v>1.005181347150259E-2</v>
      </c>
      <c r="I249" s="134">
        <f t="shared" si="52"/>
        <v>6.0141219164676671E-2</v>
      </c>
    </row>
    <row r="250" spans="2:10" x14ac:dyDescent="0.2">
      <c r="B250" s="75">
        <f t="shared" si="53"/>
        <v>2017</v>
      </c>
      <c r="C250" s="134">
        <f>+'Rate Class Customer Model'!B29/100</f>
        <v>1.0261972117954061E-2</v>
      </c>
      <c r="D250" s="134">
        <f>+'Rate Class Customer Model'!C29/100</f>
        <v>1.0088990218430538E-2</v>
      </c>
      <c r="E250" s="134">
        <f>+'Rate Class Customer Model'!D29/100</f>
        <v>9.6009529481834444E-3</v>
      </c>
      <c r="F250" s="134">
        <f>+'Rate Class Customer Model'!E29/100</f>
        <v>1.0085897098781665E-2</v>
      </c>
      <c r="G250" s="134">
        <f>+'Rate Class Customer Model'!F29/100</f>
        <v>9.8961180973209419E-3</v>
      </c>
      <c r="H250" s="134">
        <f>+'Rate Class Customer Model'!G29/100</f>
        <v>0.01</v>
      </c>
      <c r="I250" s="134">
        <f t="shared" si="52"/>
        <v>5.9933930480670659E-2</v>
      </c>
    </row>
    <row r="251" spans="2:10" x14ac:dyDescent="0.2">
      <c r="B251" s="75">
        <f t="shared" si="53"/>
        <v>2018</v>
      </c>
      <c r="C251" s="134">
        <f>+'Rate Class Customer Model'!B30/100</f>
        <v>1.0280789907752459E-2</v>
      </c>
      <c r="D251" s="134">
        <f>+'Rate Class Customer Model'!C30/100</f>
        <v>1.0099139816299752E-2</v>
      </c>
      <c r="E251" s="134">
        <f>+'Rate Class Customer Model'!D30/100</f>
        <v>1.0117866004962776E-2</v>
      </c>
      <c r="F251" s="134">
        <f>+'Rate Class Customer Model'!E30/100</f>
        <v>1.0080820370209439E-2</v>
      </c>
      <c r="G251" s="134">
        <f>+'Rate Class Customer Model'!F30/100</f>
        <v>1.0187845303867403E-2</v>
      </c>
      <c r="H251" s="134">
        <f>+'Rate Class Customer Model'!G30/100</f>
        <v>0.01</v>
      </c>
      <c r="I251" s="134">
        <f t="shared" si="52"/>
        <v>6.0766461403091832E-2</v>
      </c>
    </row>
    <row r="252" spans="2:10" x14ac:dyDescent="0.2">
      <c r="B252" s="75">
        <f t="shared" si="53"/>
        <v>2019</v>
      </c>
      <c r="C252" s="134">
        <f>+'Rate Class Customer Model'!B31/100</f>
        <v>1.0104212316811386E-2</v>
      </c>
      <c r="D252" s="134">
        <f>+'Rate Class Customer Model'!C31/100</f>
        <v>1.0083008517395697E-2</v>
      </c>
      <c r="E252" s="134">
        <f>+'Rate Class Customer Model'!D31/100</f>
        <v>9.7302268546903756E-3</v>
      </c>
      <c r="F252" s="134">
        <f>+'Rate Class Customer Model'!E31/100</f>
        <v>1.0134482758620689E-2</v>
      </c>
      <c r="G252" s="134">
        <f>+'Rate Class Customer Model'!F31/100</f>
        <v>1.0119305856832971E-2</v>
      </c>
      <c r="H252" s="134">
        <f>+'Rate Class Customer Model'!G31/100</f>
        <v>0.01</v>
      </c>
      <c r="I252" s="134">
        <f t="shared" si="52"/>
        <v>6.0171236304351124E-2</v>
      </c>
    </row>
    <row r="253" spans="2:10" x14ac:dyDescent="0.2">
      <c r="B253" s="75">
        <f t="shared" si="53"/>
        <v>2020</v>
      </c>
      <c r="C253" s="134">
        <f>+'Rate Class Customer Model'!B32/100</f>
        <v>1.004050517525288E-2</v>
      </c>
      <c r="D253" s="134">
        <f>+'Rate Class Customer Model'!C32/100</f>
        <v>9.9978523874293072E-3</v>
      </c>
      <c r="E253" s="134">
        <f>+'Rate Class Customer Model'!D32/100</f>
        <v>9.2312539382482673E-3</v>
      </c>
      <c r="F253" s="134">
        <f>+'Rate Class Customer Model'!E32/100</f>
        <v>1.001757967562663E-2</v>
      </c>
      <c r="G253" s="134">
        <f>+'Rate Class Customer Model'!F32/100</f>
        <v>1.0139335476956056E-2</v>
      </c>
      <c r="H253" s="134">
        <f>+'Rate Class Customer Model'!G32/100</f>
        <v>0.01</v>
      </c>
      <c r="I253" s="134">
        <f t="shared" si="52"/>
        <v>5.942652665351314E-2</v>
      </c>
    </row>
    <row r="254" spans="2:10" x14ac:dyDescent="0.2">
      <c r="B254" s="75">
        <f>+B255-1</f>
        <v>2021</v>
      </c>
      <c r="C254" s="134">
        <f>+'Rate Class Customer Model'!B33/100</f>
        <v>1.007629060717659E-2</v>
      </c>
      <c r="D254" s="134">
        <f>+'Rate Class Customer Model'!C33/100</f>
        <v>1.0023628812831163E-2</v>
      </c>
      <c r="E254" s="134">
        <f>+'Rate Class Customer Model'!D33/100</f>
        <v>1.0320819112627985E-2</v>
      </c>
      <c r="F254" s="134">
        <f>+'Rate Class Customer Model'!E33/100</f>
        <v>1.007387489385791E-2</v>
      </c>
      <c r="G254" s="134">
        <f>+'Rate Class Customer Model'!F33/100</f>
        <v>1.0021141649048626E-2</v>
      </c>
      <c r="H254" s="134">
        <f>+'Rate Class Customer Model'!G33/100</f>
        <v>1.0103092783505154E-2</v>
      </c>
      <c r="I254" s="134">
        <f t="shared" si="52"/>
        <v>6.061884785904742E-2</v>
      </c>
    </row>
    <row r="255" spans="2:10" x14ac:dyDescent="0.2">
      <c r="B255" s="75">
        <v>2022</v>
      </c>
      <c r="C255" s="134">
        <f>+'Rate Class Customer Model'!B34/100</f>
        <v>1.0050136239782017E-2</v>
      </c>
      <c r="D255" s="134">
        <f>+'Rate Class Customer Model'!C34/100</f>
        <v>9.9992856632616627E-3</v>
      </c>
      <c r="E255" s="134">
        <f>+'Rate Class Customer Model'!D34/100</f>
        <v>9.9801587301587297E-3</v>
      </c>
      <c r="F255" s="134">
        <f>+'Rate Class Customer Model'!E34/100</f>
        <v>1.0064342108960131E-2</v>
      </c>
      <c r="G255" s="134">
        <f>+'Rate Class Customer Model'!F34/100</f>
        <v>9.9525316455696192E-3</v>
      </c>
      <c r="H255" s="134">
        <f>+'Rate Class Customer Model'!G34/100</f>
        <v>0.01</v>
      </c>
      <c r="I255" s="134">
        <f t="shared" si="52"/>
        <v>6.0046454387732158E-2</v>
      </c>
    </row>
    <row r="256" spans="2:10" x14ac:dyDescent="0.2">
      <c r="B256" s="88" t="str">
        <f>+B210</f>
        <v>2023 Bridge</v>
      </c>
      <c r="C256" s="135">
        <f>+('Rate Class Customer Model'!B21-'Rate Class Customer Model'!B20)/'Rate Class Customer Model'!B20</f>
        <v>7.4973791707334181E-3</v>
      </c>
      <c r="D256" s="135">
        <f>+('Rate Class Customer Model'!C21-'Rate Class Customer Model'!C20)/'Rate Class Customer Model'!C20</f>
        <v>-1.9288469781397343E-3</v>
      </c>
      <c r="E256" s="135">
        <f>+('Rate Class Customer Model'!D21-'Rate Class Customer Model'!D20)/'Rate Class Customer Model'!D20</f>
        <v>1.9880715705765406E-3</v>
      </c>
      <c r="F256" s="135">
        <f>+('Rate Class Customer Model'!E21-'Rate Class Customer Model'!E20)/'Rate Class Customer Model'!E20</f>
        <v>-7.3701842546063647E-3</v>
      </c>
      <c r="G256" s="135">
        <f>+('Rate Class Customer Model'!F21-'Rate Class Customer Model'!F20)/'Rate Class Customer Model'!F20</f>
        <v>-1.589825119236884E-3</v>
      </c>
      <c r="H256" s="135">
        <f>+('Rate Class Customer Model'!G21-'Rate Class Customer Model'!G20)/'Rate Class Customer Model'!G20</f>
        <v>-1.020408163265306E-2</v>
      </c>
      <c r="I256" s="135">
        <f t="shared" si="52"/>
        <v>-1.1607487243326086E-2</v>
      </c>
    </row>
    <row r="257" spans="2:9" x14ac:dyDescent="0.2">
      <c r="B257" s="88" t="str">
        <f>+B211</f>
        <v>2024 Test</v>
      </c>
      <c r="C257" s="135">
        <f>+('Rate Class Customer Model'!B22-'Rate Class Customer Model'!B21)/'Rate Class Customer Model'!B21</f>
        <v>1.1008094609334688E-2</v>
      </c>
      <c r="D257" s="135">
        <f>+('Rate Class Customer Model'!C22-'Rate Class Customer Model'!C21)/'Rate Class Customer Model'!C21</f>
        <v>3.636201989584946E-3</v>
      </c>
      <c r="E257" s="135">
        <f>+('Rate Class Customer Model'!D22-'Rate Class Customer Model'!D21)/'Rate Class Customer Model'!D21</f>
        <v>1.0644058988085075E-3</v>
      </c>
      <c r="F257" s="135">
        <f>+('Rate Class Customer Model'!E22-'Rate Class Customer Model'!E21)/'Rate Class Customer Model'!E21</f>
        <v>3.7580386604306368E-3</v>
      </c>
      <c r="G257" s="135">
        <f>+('Rate Class Customer Model'!F22-'Rate Class Customer Model'!F21)/'Rate Class Customer Model'!F21</f>
        <v>6.3918400096474597E-4</v>
      </c>
      <c r="H257" s="135">
        <f>+('Rate Class Customer Model'!G22-'Rate Class Customer Model'!G21)/'Rate Class Customer Model'!G21</f>
        <v>-6.7047403141952816E-3</v>
      </c>
      <c r="I257" s="135">
        <f t="shared" si="52"/>
        <v>1.3401184844928242E-2</v>
      </c>
    </row>
    <row r="259" spans="2:9" x14ac:dyDescent="0.2">
      <c r="B259" s="47" t="s">
        <v>197</v>
      </c>
    </row>
    <row r="260" spans="2:9" ht="38.25" x14ac:dyDescent="0.2">
      <c r="B260" s="95" t="s">
        <v>111</v>
      </c>
      <c r="C260" s="76" t="s">
        <v>100</v>
      </c>
      <c r="D260" s="76" t="s">
        <v>112</v>
      </c>
      <c r="E260" s="96" t="s">
        <v>113</v>
      </c>
      <c r="F260" s="96" t="s">
        <v>114</v>
      </c>
      <c r="G260" s="96" t="s">
        <v>68</v>
      </c>
      <c r="H260" s="76" t="s">
        <v>196</v>
      </c>
      <c r="I260" s="96" t="s">
        <v>11</v>
      </c>
    </row>
    <row r="261" spans="2:9" x14ac:dyDescent="0.2">
      <c r="B261" s="88" t="s">
        <v>183</v>
      </c>
      <c r="C261" s="88">
        <f>+C28/C50</f>
        <v>8743.6710895883771</v>
      </c>
      <c r="D261" s="88">
        <f>+D28/D50</f>
        <v>33022.709903593342</v>
      </c>
      <c r="E261" s="88">
        <f>+E28/E50</f>
        <v>981725.1048387097</v>
      </c>
      <c r="F261" s="88">
        <f>+G28/F50</f>
        <v>648.64738675958188</v>
      </c>
      <c r="G261" s="88">
        <f>+I28/G50</f>
        <v>790.55483870967737</v>
      </c>
      <c r="H261" s="88">
        <f>+K28/H50</f>
        <v>3445.2307692307691</v>
      </c>
      <c r="I261" s="88">
        <f>SUM(C261:G261)</f>
        <v>1024930.6880573607</v>
      </c>
    </row>
    <row r="262" spans="2:9" x14ac:dyDescent="0.2">
      <c r="B262" s="75">
        <f t="shared" ref="B262:B269" si="54">+B263-1</f>
        <v>2013</v>
      </c>
      <c r="C262" s="82">
        <f>+'Rate Class Energy Model'!H3/'Rate Class Customer Model'!B11</f>
        <v>8441.6156567235339</v>
      </c>
      <c r="D262" s="82">
        <f>+'Rate Class Energy Model'!I3/'Rate Class Customer Model'!C11</f>
        <v>32464.84238859051</v>
      </c>
      <c r="E262" s="82">
        <f>+'Rate Class Energy Model'!J3/'Rate Class Customer Model'!D11</f>
        <v>970258.07109497313</v>
      </c>
      <c r="F262" s="82">
        <f>+'Rate Class Energy Model'!K3/'Rate Class Customer Model'!E11</f>
        <v>600.22010470319867</v>
      </c>
      <c r="G262" s="82">
        <f>+'Rate Class Energy Model'!L3/'Rate Class Customer Model'!F11</f>
        <v>679.56096787267495</v>
      </c>
      <c r="H262" s="82">
        <f>+'Rate Class Energy Model'!M3/'Rate Class Customer Model'!G11</f>
        <v>3705.1521234254851</v>
      </c>
      <c r="I262" s="82">
        <f t="shared" ref="I262:I271" si="55">SUM(C262:H262)</f>
        <v>1016149.4623362885</v>
      </c>
    </row>
    <row r="263" spans="2:9" x14ac:dyDescent="0.2">
      <c r="B263" s="75">
        <f t="shared" si="54"/>
        <v>2014</v>
      </c>
      <c r="C263" s="82">
        <f>+'Rate Class Energy Model'!H4/'Rate Class Customer Model'!B12</f>
        <v>8296.1306744126869</v>
      </c>
      <c r="D263" s="82">
        <f>+'Rate Class Energy Model'!I4/'Rate Class Customer Model'!C12</f>
        <v>31109.482219058606</v>
      </c>
      <c r="E263" s="82">
        <f>+'Rate Class Energy Model'!J4/'Rate Class Customer Model'!D12</f>
        <v>939543.98743338778</v>
      </c>
      <c r="F263" s="82">
        <f>+'Rate Class Energy Model'!K4/'Rate Class Customer Model'!E12</f>
        <v>597.99414048054439</v>
      </c>
      <c r="G263" s="82">
        <f>+'Rate Class Energy Model'!L4/'Rate Class Customer Model'!F12</f>
        <v>690.90819995100026</v>
      </c>
      <c r="H263" s="82">
        <f>+'Rate Class Energy Model'!M4/'Rate Class Customer Model'!G12</f>
        <v>3713.878478167192</v>
      </c>
      <c r="I263" s="82">
        <f t="shared" si="55"/>
        <v>983952.38114545785</v>
      </c>
    </row>
    <row r="264" spans="2:9" x14ac:dyDescent="0.2">
      <c r="B264" s="75">
        <f t="shared" si="54"/>
        <v>2015</v>
      </c>
      <c r="C264" s="82">
        <f>+'Rate Class Energy Model'!H5/'Rate Class Customer Model'!B13</f>
        <v>8181.8450674479363</v>
      </c>
      <c r="D264" s="82">
        <f>+'Rate Class Energy Model'!I5/'Rate Class Customer Model'!C13</f>
        <v>30137.31144761934</v>
      </c>
      <c r="E264" s="82">
        <f>+'Rate Class Energy Model'!J5/'Rate Class Customer Model'!D13</f>
        <v>903627.06864705065</v>
      </c>
      <c r="F264" s="82">
        <f>+'Rate Class Energy Model'!K5/'Rate Class Customer Model'!E13</f>
        <v>558.87724988695288</v>
      </c>
      <c r="G264" s="82">
        <f>+'Rate Class Energy Model'!L5/'Rate Class Customer Model'!F13</f>
        <v>689.70163635559788</v>
      </c>
      <c r="H264" s="82">
        <f>+'Rate Class Energy Model'!M5/'Rate Class Customer Model'!G13</f>
        <v>3963.8735942540575</v>
      </c>
      <c r="I264" s="82">
        <f t="shared" si="55"/>
        <v>947158.67764261458</v>
      </c>
    </row>
    <row r="265" spans="2:9" x14ac:dyDescent="0.2">
      <c r="B265" s="75">
        <f t="shared" si="54"/>
        <v>2016</v>
      </c>
      <c r="C265" s="82">
        <f>+'Rate Class Energy Model'!H6/'Rate Class Customer Model'!B14</f>
        <v>8107.3457561099121</v>
      </c>
      <c r="D265" s="82">
        <f>+'Rate Class Energy Model'!I6/'Rate Class Customer Model'!C14</f>
        <v>30408.741363678313</v>
      </c>
      <c r="E265" s="82">
        <f>+'Rate Class Energy Model'!J6/'Rate Class Customer Model'!D14</f>
        <v>912464.24688083422</v>
      </c>
      <c r="F265" s="82">
        <f>+'Rate Class Energy Model'!K6/'Rate Class Customer Model'!E14</f>
        <v>312.26543865873219</v>
      </c>
      <c r="G265" s="82">
        <f>+'Rate Class Energy Model'!L6/'Rate Class Customer Model'!F14</f>
        <v>692.60751467140778</v>
      </c>
      <c r="H265" s="82">
        <f>+'Rate Class Energy Model'!M6/'Rate Class Customer Model'!G14</f>
        <v>4137.9702720358418</v>
      </c>
      <c r="I265" s="82">
        <f t="shared" si="55"/>
        <v>956123.17722598836</v>
      </c>
    </row>
    <row r="266" spans="2:9" x14ac:dyDescent="0.2">
      <c r="B266" s="75">
        <f t="shared" si="54"/>
        <v>2017</v>
      </c>
      <c r="C266" s="82">
        <f>+'Rate Class Energy Model'!H7/'Rate Class Customer Model'!B15</f>
        <v>7686.3580508743571</v>
      </c>
      <c r="D266" s="82">
        <f>+'Rate Class Energy Model'!I7/'Rate Class Customer Model'!C15</f>
        <v>30080.55308483015</v>
      </c>
      <c r="E266" s="82">
        <f>+'Rate Class Energy Model'!J7/'Rate Class Customer Model'!D15</f>
        <v>938868.4456428726</v>
      </c>
      <c r="F266" s="82">
        <f>+'Rate Class Energy Model'!K7/'Rate Class Customer Model'!E15</f>
        <v>300.09372341499289</v>
      </c>
      <c r="G266" s="82">
        <f>+'Rate Class Energy Model'!L7/'Rate Class Customer Model'!F15</f>
        <v>685.4001215564499</v>
      </c>
      <c r="H266" s="82">
        <f>+'Rate Class Energy Model'!M7/'Rate Class Customer Model'!G15</f>
        <v>3923.8101795534621</v>
      </c>
      <c r="I266" s="82">
        <f t="shared" si="55"/>
        <v>981544.66080310207</v>
      </c>
    </row>
    <row r="267" spans="2:9" x14ac:dyDescent="0.2">
      <c r="B267" s="75">
        <f t="shared" si="54"/>
        <v>2018</v>
      </c>
      <c r="C267" s="82">
        <f>+'Rate Class Energy Model'!H8/'Rate Class Customer Model'!B16</f>
        <v>8174.414077546342</v>
      </c>
      <c r="D267" s="82">
        <f>+'Rate Class Energy Model'!I8/'Rate Class Customer Model'!C16</f>
        <v>30974.406775061478</v>
      </c>
      <c r="E267" s="82">
        <f>+'Rate Class Energy Model'!J8/'Rate Class Customer Model'!D16</f>
        <v>950392.5337837378</v>
      </c>
      <c r="F267" s="82">
        <f>+'Rate Class Energy Model'!K8/'Rate Class Customer Model'!E16</f>
        <v>300.3122135621436</v>
      </c>
      <c r="G267" s="82">
        <f>+'Rate Class Energy Model'!L8/'Rate Class Customer Model'!F16</f>
        <v>666.53545792293096</v>
      </c>
      <c r="H267" s="82">
        <f>+'Rate Class Energy Model'!M8/'Rate Class Customer Model'!G16</f>
        <v>3869.4761360026027</v>
      </c>
      <c r="I267" s="82">
        <f t="shared" si="55"/>
        <v>994377.67844383337</v>
      </c>
    </row>
    <row r="268" spans="2:9" x14ac:dyDescent="0.2">
      <c r="B268" s="75">
        <f t="shared" si="54"/>
        <v>2019</v>
      </c>
      <c r="C268" s="82">
        <f>+'Rate Class Energy Model'!H9/'Rate Class Customer Model'!B17</f>
        <v>7867.0115799995665</v>
      </c>
      <c r="D268" s="82">
        <f>+'Rate Class Energy Model'!I9/'Rate Class Customer Model'!C17</f>
        <v>30017.391148921321</v>
      </c>
      <c r="E268" s="82">
        <f>+'Rate Class Energy Model'!J9/'Rate Class Customer Model'!D17</f>
        <v>971302.37524242024</v>
      </c>
      <c r="F268" s="82">
        <f>+'Rate Class Energy Model'!K9/'Rate Class Customer Model'!E17</f>
        <v>300.6002631051071</v>
      </c>
      <c r="G268" s="82">
        <f>+'Rate Class Energy Model'!L9/'Rate Class Customer Model'!F17</f>
        <v>660.80112504912438</v>
      </c>
      <c r="H268" s="82">
        <f>+'Rate Class Energy Model'!M9/'Rate Class Customer Model'!G17</f>
        <v>3869.4761360026027</v>
      </c>
      <c r="I268" s="82">
        <f t="shared" si="55"/>
        <v>1014017.655495498</v>
      </c>
    </row>
    <row r="269" spans="2:9" x14ac:dyDescent="0.2">
      <c r="B269" s="75">
        <f t="shared" si="54"/>
        <v>2020</v>
      </c>
      <c r="C269" s="82">
        <f>+'Rate Class Energy Model'!H10/'Rate Class Customer Model'!B18</f>
        <v>8398.1521551963287</v>
      </c>
      <c r="D269" s="82">
        <f>+'Rate Class Energy Model'!I10/'Rate Class Customer Model'!C18</f>
        <v>28895.551451456635</v>
      </c>
      <c r="E269" s="82">
        <f>+'Rate Class Energy Model'!J10/'Rate Class Customer Model'!D18</f>
        <v>1025216.4850498802</v>
      </c>
      <c r="F269" s="82">
        <f>+'Rate Class Energy Model'!K10/'Rate Class Customer Model'!E18</f>
        <v>299.47035938199656</v>
      </c>
      <c r="G269" s="82">
        <f>+'Rate Class Energy Model'!L10/'Rate Class Customer Model'!F18</f>
        <v>651.72633939638695</v>
      </c>
      <c r="H269" s="82">
        <f>+'Rate Class Energy Model'!M10/'Rate Class Customer Model'!G18</f>
        <v>3869.4761360026027</v>
      </c>
      <c r="I269" s="82">
        <f t="shared" si="55"/>
        <v>1067330.8614913141</v>
      </c>
    </row>
    <row r="270" spans="2:9" x14ac:dyDescent="0.2">
      <c r="B270" s="75">
        <f>+B271-1</f>
        <v>2021</v>
      </c>
      <c r="C270" s="82">
        <f>+'Rate Class Energy Model'!H11/'Rate Class Customer Model'!B19</f>
        <v>8290.9929640281935</v>
      </c>
      <c r="D270" s="82">
        <f>+'Rate Class Energy Model'!I11/'Rate Class Customer Model'!C19</f>
        <v>28745.078301859925</v>
      </c>
      <c r="E270" s="82">
        <f>+'Rate Class Energy Model'!J11/'Rate Class Customer Model'!D19</f>
        <v>1037774.4993636761</v>
      </c>
      <c r="F270" s="82">
        <f>+'Rate Class Energy Model'!K11/'Rate Class Customer Model'!E19</f>
        <v>293.37231286603247</v>
      </c>
      <c r="G270" s="82">
        <f>+'Rate Class Energy Model'!L11/'Rate Class Customer Model'!F19</f>
        <v>648.57475673279794</v>
      </c>
      <c r="H270" s="82">
        <f>+'Rate Class Energy Model'!M11/'Rate Class Customer Model'!G19</f>
        <v>3829.9916856352293</v>
      </c>
      <c r="I270" s="82">
        <f t="shared" si="55"/>
        <v>1079582.5093847981</v>
      </c>
    </row>
    <row r="271" spans="2:9" x14ac:dyDescent="0.2">
      <c r="B271" s="75">
        <v>2022</v>
      </c>
      <c r="C271" s="82">
        <f>+'Rate Class Energy Model'!H12/'Rate Class Customer Model'!B20</f>
        <v>8274.2980345481046</v>
      </c>
      <c r="D271" s="82">
        <f>+'Rate Class Energy Model'!I12/'Rate Class Customer Model'!C20</f>
        <v>30206.483904607565</v>
      </c>
      <c r="E271" s="82">
        <f>+'Rate Class Energy Model'!J12/'Rate Class Customer Model'!D20</f>
        <v>1082778.259173136</v>
      </c>
      <c r="F271" s="82">
        <f>+'Rate Class Energy Model'!K12/'Rate Class Customer Model'!E20</f>
        <v>293.13443149980094</v>
      </c>
      <c r="G271" s="82">
        <f>+'Rate Class Energy Model'!L12/'Rate Class Customer Model'!F20</f>
        <v>634.29553576317744</v>
      </c>
      <c r="H271" s="82">
        <f>+'Rate Class Energy Model'!M12/'Rate Class Customer Model'!G20</f>
        <v>3829.9916856352297</v>
      </c>
      <c r="I271" s="82">
        <f t="shared" si="55"/>
        <v>1126016.4627651898</v>
      </c>
    </row>
    <row r="273" spans="2:6" x14ac:dyDescent="0.2">
      <c r="B273" s="47" t="s">
        <v>198</v>
      </c>
    </row>
    <row r="274" spans="2:6" ht="25.5" x14ac:dyDescent="0.2">
      <c r="B274" s="95" t="s">
        <v>111</v>
      </c>
      <c r="C274" s="76" t="s">
        <v>199</v>
      </c>
      <c r="D274" s="76" t="s">
        <v>200</v>
      </c>
      <c r="E274" s="96" t="s">
        <v>61</v>
      </c>
      <c r="F274" s="96" t="s">
        <v>200</v>
      </c>
    </row>
    <row r="275" spans="2:6" x14ac:dyDescent="0.2">
      <c r="B275" s="88" t="s">
        <v>183</v>
      </c>
      <c r="C275" s="88">
        <f t="shared" ref="C275:C287" si="56">+C50</f>
        <v>10325</v>
      </c>
      <c r="D275" s="88"/>
      <c r="E275" s="88">
        <f t="shared" ref="E275:E287" si="57">+C28</f>
        <v>90278404</v>
      </c>
      <c r="F275" s="88"/>
    </row>
    <row r="276" spans="2:6" x14ac:dyDescent="0.2">
      <c r="B276" s="75">
        <f t="shared" ref="B276:B283" si="58">+B277-1</f>
        <v>2013</v>
      </c>
      <c r="C276" s="82">
        <f t="shared" si="56"/>
        <v>10211.583333333334</v>
      </c>
      <c r="D276" s="82"/>
      <c r="E276" s="82">
        <f t="shared" si="57"/>
        <v>86202261.746603757</v>
      </c>
      <c r="F276" s="82"/>
    </row>
    <row r="277" spans="2:6" x14ac:dyDescent="0.2">
      <c r="B277" s="75">
        <f t="shared" si="58"/>
        <v>2014</v>
      </c>
      <c r="C277" s="82">
        <f t="shared" si="56"/>
        <v>10344.166666666666</v>
      </c>
      <c r="D277" s="101">
        <f>+(C277-C276)/C276</f>
        <v>1.2983621540897064E-2</v>
      </c>
      <c r="E277" s="82">
        <f t="shared" si="57"/>
        <v>85816558.384570569</v>
      </c>
      <c r="F277" s="101">
        <f t="shared" ref="F277:F287" si="59">+(E277-E276)/E276</f>
        <v>-4.4743995600368862E-3</v>
      </c>
    </row>
    <row r="278" spans="2:6" x14ac:dyDescent="0.2">
      <c r="B278" s="75">
        <f t="shared" si="58"/>
        <v>2015</v>
      </c>
      <c r="C278" s="82">
        <f t="shared" si="56"/>
        <v>10502.083333333334</v>
      </c>
      <c r="D278" s="101">
        <f t="shared" ref="D278:D287" si="60">+(C278-C277)/C277</f>
        <v>1.5266253121727339E-2</v>
      </c>
      <c r="E278" s="82">
        <f t="shared" si="57"/>
        <v>85926418.71876052</v>
      </c>
      <c r="F278" s="101">
        <f t="shared" si="59"/>
        <v>1.2801764165096582E-3</v>
      </c>
    </row>
    <row r="279" spans="2:6" x14ac:dyDescent="0.2">
      <c r="B279" s="75">
        <f t="shared" si="58"/>
        <v>2016</v>
      </c>
      <c r="C279" s="82">
        <f t="shared" si="56"/>
        <v>10634.083333333334</v>
      </c>
      <c r="D279" s="101">
        <f t="shared" si="60"/>
        <v>1.2568934735171592E-2</v>
      </c>
      <c r="E279" s="82">
        <f t="shared" si="57"/>
        <v>86214190.382619157</v>
      </c>
      <c r="F279" s="101">
        <f t="shared" si="59"/>
        <v>3.349047570579214E-3</v>
      </c>
    </row>
    <row r="280" spans="2:6" x14ac:dyDescent="0.2">
      <c r="B280" s="75">
        <f t="shared" si="58"/>
        <v>2017</v>
      </c>
      <c r="C280" s="82">
        <f t="shared" si="56"/>
        <v>10912.666666666666</v>
      </c>
      <c r="D280" s="101">
        <f t="shared" si="60"/>
        <v>2.6197211795406166E-2</v>
      </c>
      <c r="E280" s="82">
        <f t="shared" si="57"/>
        <v>83878663.289841563</v>
      </c>
      <c r="F280" s="101">
        <f t="shared" si="59"/>
        <v>-2.7089822248663589E-2</v>
      </c>
    </row>
    <row r="281" spans="2:6" x14ac:dyDescent="0.2">
      <c r="B281" s="75">
        <f t="shared" si="58"/>
        <v>2018</v>
      </c>
      <c r="C281" s="82">
        <f t="shared" si="56"/>
        <v>11219.083333333334</v>
      </c>
      <c r="D281" s="101">
        <f t="shared" si="60"/>
        <v>2.8078990775246004E-2</v>
      </c>
      <c r="E281" s="82">
        <f t="shared" si="57"/>
        <v>91709432.73716554</v>
      </c>
      <c r="F281" s="101">
        <f t="shared" si="59"/>
        <v>9.3358300432910601E-2</v>
      </c>
    </row>
    <row r="282" spans="2:6" x14ac:dyDescent="0.2">
      <c r="B282" s="75">
        <f t="shared" si="58"/>
        <v>2019</v>
      </c>
      <c r="C282" s="82">
        <f t="shared" si="56"/>
        <v>11336</v>
      </c>
      <c r="D282" s="101">
        <f t="shared" si="60"/>
        <v>1.0421231681138482E-2</v>
      </c>
      <c r="E282" s="82">
        <f t="shared" si="57"/>
        <v>89180443.270875081</v>
      </c>
      <c r="F282" s="101">
        <f t="shared" si="59"/>
        <v>-2.7576110666155913E-2</v>
      </c>
    </row>
    <row r="283" spans="2:6" x14ac:dyDescent="0.2">
      <c r="B283" s="75">
        <f t="shared" si="58"/>
        <v>2020</v>
      </c>
      <c r="C283" s="82">
        <f t="shared" si="56"/>
        <v>11381.916666666666</v>
      </c>
      <c r="D283" s="101">
        <f t="shared" si="60"/>
        <v>4.0505175252881142E-3</v>
      </c>
      <c r="E283" s="82">
        <f t="shared" si="57"/>
        <v>95587067.984431669</v>
      </c>
      <c r="F283" s="101">
        <f t="shared" si="59"/>
        <v>7.1838897392528314E-2</v>
      </c>
    </row>
    <row r="284" spans="2:6" x14ac:dyDescent="0.2">
      <c r="B284" s="75">
        <f>+B285-1</f>
        <v>2021</v>
      </c>
      <c r="C284" s="82">
        <f t="shared" si="56"/>
        <v>11468.75</v>
      </c>
      <c r="D284" s="101">
        <f t="shared" si="60"/>
        <v>7.6290607176589132E-3</v>
      </c>
      <c r="E284" s="82">
        <f t="shared" si="57"/>
        <v>95087325.556198344</v>
      </c>
      <c r="F284" s="101">
        <f t="shared" si="59"/>
        <v>-5.2281384790955074E-3</v>
      </c>
    </row>
    <row r="285" spans="2:6" x14ac:dyDescent="0.2">
      <c r="B285" s="75">
        <v>2022</v>
      </c>
      <c r="C285" s="82">
        <f t="shared" si="56"/>
        <v>11526.25</v>
      </c>
      <c r="D285" s="101">
        <f t="shared" si="60"/>
        <v>5.0136239782016352E-3</v>
      </c>
      <c r="E285" s="82">
        <f t="shared" si="57"/>
        <v>95371627.720710099</v>
      </c>
      <c r="F285" s="101">
        <f t="shared" si="59"/>
        <v>2.9899059927153736E-3</v>
      </c>
    </row>
    <row r="286" spans="2:6" x14ac:dyDescent="0.2">
      <c r="B286" s="88" t="str">
        <f>+B256</f>
        <v>2023 Bridge</v>
      </c>
      <c r="C286" s="88">
        <f t="shared" si="56"/>
        <v>11612.666666666666</v>
      </c>
      <c r="D286" s="123">
        <f t="shared" si="60"/>
        <v>7.4973791707334181E-3</v>
      </c>
      <c r="E286" s="88">
        <f t="shared" si="57"/>
        <v>92245274.064317778</v>
      </c>
      <c r="F286" s="123">
        <f t="shared" si="59"/>
        <v>-3.2780751792846126E-2</v>
      </c>
    </row>
    <row r="287" spans="2:6" x14ac:dyDescent="0.2">
      <c r="B287" s="88" t="str">
        <f>+B257</f>
        <v>2024 Test</v>
      </c>
      <c r="C287" s="88">
        <f t="shared" si="56"/>
        <v>11740.5</v>
      </c>
      <c r="D287" s="123">
        <f t="shared" si="60"/>
        <v>1.1008094609334688E-2</v>
      </c>
      <c r="E287" s="88">
        <f t="shared" si="57"/>
        <v>95562230.878257319</v>
      </c>
      <c r="F287" s="123">
        <f t="shared" si="59"/>
        <v>3.5958013541450395E-2</v>
      </c>
    </row>
    <row r="290" spans="2:6" x14ac:dyDescent="0.2">
      <c r="B290" s="47" t="s">
        <v>201</v>
      </c>
    </row>
    <row r="291" spans="2:6" ht="25.5" x14ac:dyDescent="0.2">
      <c r="B291" s="95" t="s">
        <v>111</v>
      </c>
      <c r="C291" s="76" t="s">
        <v>199</v>
      </c>
      <c r="D291" s="76" t="s">
        <v>200</v>
      </c>
      <c r="E291" s="96" t="s">
        <v>61</v>
      </c>
      <c r="F291" s="96" t="s">
        <v>200</v>
      </c>
    </row>
    <row r="292" spans="2:6" x14ac:dyDescent="0.2">
      <c r="B292" s="88" t="s">
        <v>183</v>
      </c>
      <c r="C292" s="88">
        <f t="shared" ref="C292:C304" si="61">+D50</f>
        <v>1141</v>
      </c>
      <c r="D292" s="88"/>
      <c r="E292" s="88">
        <f t="shared" ref="E292:E304" si="62">+D28</f>
        <v>37678912</v>
      </c>
      <c r="F292" s="88"/>
    </row>
    <row r="293" spans="2:6" x14ac:dyDescent="0.2">
      <c r="B293" s="75">
        <f t="shared" ref="B293:B300" si="63">+B294-1</f>
        <v>2013</v>
      </c>
      <c r="C293" s="82">
        <f t="shared" si="61"/>
        <v>1122.75</v>
      </c>
      <c r="D293" s="82"/>
      <c r="E293" s="82">
        <f t="shared" si="62"/>
        <v>36449901.791789994</v>
      </c>
      <c r="F293" s="82"/>
    </row>
    <row r="294" spans="2:6" x14ac:dyDescent="0.2">
      <c r="B294" s="75">
        <f t="shared" si="63"/>
        <v>2014</v>
      </c>
      <c r="C294" s="82">
        <f t="shared" si="61"/>
        <v>1138.4166666666667</v>
      </c>
      <c r="D294" s="101">
        <f>+(C294-C293)/C293</f>
        <v>1.3953833593112218E-2</v>
      </c>
      <c r="E294" s="82">
        <f t="shared" si="62"/>
        <v>35415553.049546637</v>
      </c>
      <c r="F294" s="101">
        <f t="shared" ref="F294:F304" si="64">+(E294-E293)/E293</f>
        <v>-2.8377271032218106E-2</v>
      </c>
    </row>
    <row r="295" spans="2:6" x14ac:dyDescent="0.2">
      <c r="B295" s="75">
        <f t="shared" si="63"/>
        <v>2015</v>
      </c>
      <c r="C295" s="82">
        <f t="shared" si="61"/>
        <v>1133.75</v>
      </c>
      <c r="D295" s="101">
        <f t="shared" ref="D295:D304" si="65">+(C295-C294)/C294</f>
        <v>-4.0992606690579683E-3</v>
      </c>
      <c r="E295" s="82">
        <f t="shared" si="62"/>
        <v>34168176.853738427</v>
      </c>
      <c r="F295" s="101">
        <f t="shared" si="64"/>
        <v>-3.5221141233150316E-2</v>
      </c>
    </row>
    <row r="296" spans="2:6" x14ac:dyDescent="0.2">
      <c r="B296" s="75">
        <f t="shared" si="63"/>
        <v>2016</v>
      </c>
      <c r="C296" s="82">
        <f t="shared" si="61"/>
        <v>1133.0833333333333</v>
      </c>
      <c r="D296" s="101">
        <f t="shared" si="65"/>
        <v>-5.8801911062116203E-4</v>
      </c>
      <c r="E296" s="82">
        <f t="shared" si="62"/>
        <v>34455638.026827835</v>
      </c>
      <c r="F296" s="101">
        <f t="shared" si="64"/>
        <v>8.4131258837696968E-3</v>
      </c>
    </row>
    <row r="297" spans="2:6" x14ac:dyDescent="0.2">
      <c r="B297" s="75">
        <f t="shared" si="63"/>
        <v>2017</v>
      </c>
      <c r="C297" s="82">
        <f t="shared" si="61"/>
        <v>1143.1666666666667</v>
      </c>
      <c r="D297" s="101">
        <f t="shared" si="65"/>
        <v>8.8990218430537484E-3</v>
      </c>
      <c r="E297" s="82">
        <f t="shared" si="62"/>
        <v>34387085.601475</v>
      </c>
      <c r="F297" s="101">
        <f t="shared" si="64"/>
        <v>-1.9895851384164735E-3</v>
      </c>
    </row>
    <row r="298" spans="2:6" x14ac:dyDescent="0.2">
      <c r="B298" s="75">
        <f t="shared" si="63"/>
        <v>2018</v>
      </c>
      <c r="C298" s="82">
        <f t="shared" si="61"/>
        <v>1154.5</v>
      </c>
      <c r="D298" s="101">
        <f t="shared" si="65"/>
        <v>9.9139816299751472E-3</v>
      </c>
      <c r="E298" s="82">
        <f t="shared" si="62"/>
        <v>35759952.621808477</v>
      </c>
      <c r="F298" s="101">
        <f t="shared" si="64"/>
        <v>3.9923913187763393E-2</v>
      </c>
    </row>
    <row r="299" spans="2:6" x14ac:dyDescent="0.2">
      <c r="B299" s="75">
        <f t="shared" si="63"/>
        <v>2019</v>
      </c>
      <c r="C299" s="82">
        <f t="shared" si="61"/>
        <v>1164.0833333333333</v>
      </c>
      <c r="D299" s="101">
        <f t="shared" si="65"/>
        <v>8.3008517395697333E-3</v>
      </c>
      <c r="E299" s="82">
        <f t="shared" si="62"/>
        <v>34942744.746606827</v>
      </c>
      <c r="F299" s="101">
        <f t="shared" si="64"/>
        <v>-2.2852599494308883E-2</v>
      </c>
    </row>
    <row r="300" spans="2:6" x14ac:dyDescent="0.2">
      <c r="B300" s="75">
        <f t="shared" si="63"/>
        <v>2020</v>
      </c>
      <c r="C300" s="82">
        <f t="shared" si="61"/>
        <v>1163.8333333333333</v>
      </c>
      <c r="D300" s="101">
        <f t="shared" si="65"/>
        <v>-2.1476125706922474E-4</v>
      </c>
      <c r="E300" s="82">
        <f t="shared" si="62"/>
        <v>33629605.964253612</v>
      </c>
      <c r="F300" s="101">
        <f t="shared" si="64"/>
        <v>-3.7579726260076621E-2</v>
      </c>
    </row>
    <row r="301" spans="2:6" x14ac:dyDescent="0.2">
      <c r="B301" s="75">
        <f>+B302-1</f>
        <v>2021</v>
      </c>
      <c r="C301" s="82">
        <f t="shared" si="61"/>
        <v>1166.5833333333333</v>
      </c>
      <c r="D301" s="101">
        <f t="shared" si="65"/>
        <v>2.3628812831161393E-3</v>
      </c>
      <c r="E301" s="82">
        <f t="shared" si="62"/>
        <v>33533529.262311421</v>
      </c>
      <c r="F301" s="101">
        <f t="shared" si="64"/>
        <v>-2.8569083457092742E-3</v>
      </c>
    </row>
    <row r="302" spans="2:6" x14ac:dyDescent="0.2">
      <c r="B302" s="75">
        <v>2022</v>
      </c>
      <c r="C302" s="82">
        <f t="shared" si="61"/>
        <v>1166.5</v>
      </c>
      <c r="D302" s="101">
        <f t="shared" si="65"/>
        <v>-7.143367383378031E-5</v>
      </c>
      <c r="E302" s="82">
        <f t="shared" si="62"/>
        <v>35235863.474724725</v>
      </c>
      <c r="F302" s="101">
        <f t="shared" si="64"/>
        <v>5.0765137158604104E-2</v>
      </c>
    </row>
    <row r="303" spans="2:6" x14ac:dyDescent="0.2">
      <c r="B303" s="88" t="str">
        <f>+B286</f>
        <v>2023 Bridge</v>
      </c>
      <c r="C303" s="88">
        <f t="shared" si="61"/>
        <v>1164.25</v>
      </c>
      <c r="D303" s="123">
        <f t="shared" si="65"/>
        <v>-1.9288469781397343E-3</v>
      </c>
      <c r="E303" s="88">
        <f t="shared" si="62"/>
        <v>34781027.104293205</v>
      </c>
      <c r="F303" s="123">
        <f t="shared" si="64"/>
        <v>-1.2908336154661906E-2</v>
      </c>
    </row>
    <row r="304" spans="2:6" x14ac:dyDescent="0.2">
      <c r="B304" s="88" t="str">
        <f>+B287</f>
        <v>2024 Test</v>
      </c>
      <c r="C304" s="88">
        <f t="shared" si="61"/>
        <v>1168.4834481663743</v>
      </c>
      <c r="D304" s="123">
        <f t="shared" si="65"/>
        <v>3.636201989584946E-3</v>
      </c>
      <c r="E304" s="88">
        <f t="shared" si="62"/>
        <v>35768954.196158841</v>
      </c>
      <c r="F304" s="123">
        <f t="shared" si="64"/>
        <v>2.8404195451251966E-2</v>
      </c>
    </row>
    <row r="307" spans="2:8" x14ac:dyDescent="0.2">
      <c r="B307" s="47" t="s">
        <v>202</v>
      </c>
    </row>
    <row r="308" spans="2:8" ht="25.5" x14ac:dyDescent="0.2">
      <c r="B308" s="95" t="s">
        <v>111</v>
      </c>
      <c r="C308" s="76" t="s">
        <v>199</v>
      </c>
      <c r="D308" s="76" t="s">
        <v>200</v>
      </c>
      <c r="E308" s="96" t="s">
        <v>61</v>
      </c>
      <c r="F308" s="96" t="s">
        <v>200</v>
      </c>
      <c r="G308" s="96" t="s">
        <v>62</v>
      </c>
      <c r="H308" s="96" t="s">
        <v>200</v>
      </c>
    </row>
    <row r="309" spans="2:8" x14ac:dyDescent="0.2">
      <c r="B309" s="88" t="s">
        <v>183</v>
      </c>
      <c r="C309" s="88">
        <f t="shared" ref="C309:C321" si="66">+E50</f>
        <v>124</v>
      </c>
      <c r="D309" s="88"/>
      <c r="E309" s="88">
        <f t="shared" ref="E309:E321" si="67">+E28</f>
        <v>121733913</v>
      </c>
      <c r="F309" s="88"/>
      <c r="G309" s="88">
        <f t="shared" ref="G309:G321" si="68">+F28</f>
        <v>293725</v>
      </c>
      <c r="H309" s="88"/>
    </row>
    <row r="310" spans="2:8" x14ac:dyDescent="0.2">
      <c r="B310" s="75">
        <f t="shared" ref="B310:B317" si="69">+B311-1</f>
        <v>2013</v>
      </c>
      <c r="C310" s="82">
        <f t="shared" si="66"/>
        <v>124.66666666666667</v>
      </c>
      <c r="D310" s="82"/>
      <c r="E310" s="82">
        <f t="shared" si="67"/>
        <v>120958839.52983999</v>
      </c>
      <c r="F310" s="82"/>
      <c r="G310" s="82">
        <f t="shared" si="68"/>
        <v>290086.77981047268</v>
      </c>
      <c r="H310" s="82"/>
    </row>
    <row r="311" spans="2:8" x14ac:dyDescent="0.2">
      <c r="B311" s="75">
        <f t="shared" si="69"/>
        <v>2014</v>
      </c>
      <c r="C311" s="82">
        <f t="shared" si="66"/>
        <v>132.08333333333334</v>
      </c>
      <c r="D311" s="101">
        <f>+(C311-C310)/C310</f>
        <v>5.9491978609625705E-2</v>
      </c>
      <c r="E311" s="82">
        <f t="shared" si="67"/>
        <v>124098101.67349331</v>
      </c>
      <c r="F311" s="101">
        <f t="shared" ref="F311:H321" si="70">+(E311-E310)/E310</f>
        <v>2.5953143696280889E-2</v>
      </c>
      <c r="G311" s="82">
        <f t="shared" si="68"/>
        <v>295326.6614777061</v>
      </c>
      <c r="H311" s="101">
        <f t="shared" si="70"/>
        <v>1.8063152242432014E-2</v>
      </c>
    </row>
    <row r="312" spans="2:8" x14ac:dyDescent="0.2">
      <c r="B312" s="75">
        <f t="shared" si="69"/>
        <v>2015</v>
      </c>
      <c r="C312" s="82">
        <f t="shared" si="66"/>
        <v>138.75</v>
      </c>
      <c r="D312" s="101">
        <f t="shared" ref="D312:D321" si="71">+(C312-C311)/C311</f>
        <v>5.0473186119873739E-2</v>
      </c>
      <c r="E312" s="82">
        <f t="shared" si="67"/>
        <v>125378255.77477828</v>
      </c>
      <c r="F312" s="101">
        <f t="shared" si="70"/>
        <v>1.0315662238356381E-2</v>
      </c>
      <c r="G312" s="82">
        <f t="shared" si="68"/>
        <v>290455.41448504326</v>
      </c>
      <c r="H312" s="101">
        <f t="shared" si="70"/>
        <v>-1.6494436933966308E-2</v>
      </c>
    </row>
    <row r="313" spans="2:8" x14ac:dyDescent="0.2">
      <c r="B313" s="75">
        <f t="shared" si="69"/>
        <v>2016</v>
      </c>
      <c r="C313" s="82">
        <f t="shared" si="66"/>
        <v>139.91666666666666</v>
      </c>
      <c r="D313" s="101">
        <f t="shared" si="71"/>
        <v>8.4084084084083393E-3</v>
      </c>
      <c r="E313" s="82">
        <f t="shared" si="67"/>
        <v>127668955.87607671</v>
      </c>
      <c r="F313" s="101">
        <f t="shared" si="70"/>
        <v>1.8270313996178955E-2</v>
      </c>
      <c r="G313" s="82">
        <f t="shared" si="68"/>
        <v>308868.24605865555</v>
      </c>
      <c r="H313" s="101">
        <f t="shared" si="70"/>
        <v>6.3392970677640589E-2</v>
      </c>
    </row>
    <row r="314" spans="2:8" x14ac:dyDescent="0.2">
      <c r="B314" s="75">
        <f t="shared" si="69"/>
        <v>2017</v>
      </c>
      <c r="C314" s="82">
        <f t="shared" si="66"/>
        <v>134.33333333333334</v>
      </c>
      <c r="D314" s="101">
        <f t="shared" si="71"/>
        <v>-3.9904705181655613E-2</v>
      </c>
      <c r="E314" s="82">
        <f t="shared" si="67"/>
        <v>126121327.86469257</v>
      </c>
      <c r="F314" s="101">
        <f t="shared" si="70"/>
        <v>-1.2122195256976697E-2</v>
      </c>
      <c r="G314" s="82">
        <f t="shared" si="68"/>
        <v>297257.4140142221</v>
      </c>
      <c r="H314" s="101">
        <f t="shared" si="70"/>
        <v>-3.7591536820617361E-2</v>
      </c>
    </row>
    <row r="315" spans="2:8" x14ac:dyDescent="0.2">
      <c r="B315" s="75">
        <f t="shared" si="69"/>
        <v>2018</v>
      </c>
      <c r="C315" s="82">
        <f t="shared" si="66"/>
        <v>135.91666666666666</v>
      </c>
      <c r="D315" s="101">
        <f t="shared" si="71"/>
        <v>1.1786600496277774E-2</v>
      </c>
      <c r="E315" s="82">
        <f t="shared" si="67"/>
        <v>129174185.21677302</v>
      </c>
      <c r="F315" s="101">
        <f t="shared" si="70"/>
        <v>2.4205718444034009E-2</v>
      </c>
      <c r="G315" s="82">
        <f t="shared" si="68"/>
        <v>299851.59780658461</v>
      </c>
      <c r="H315" s="101">
        <f t="shared" si="70"/>
        <v>8.7270616982437869E-3</v>
      </c>
    </row>
    <row r="316" spans="2:8" x14ac:dyDescent="0.2">
      <c r="B316" s="75">
        <f t="shared" si="69"/>
        <v>2019</v>
      </c>
      <c r="C316" s="82">
        <f t="shared" si="66"/>
        <v>132.25</v>
      </c>
      <c r="D316" s="101">
        <f t="shared" si="71"/>
        <v>-2.6977314530962533E-2</v>
      </c>
      <c r="E316" s="82">
        <f t="shared" si="67"/>
        <v>128454739.12581007</v>
      </c>
      <c r="F316" s="101">
        <f t="shared" si="70"/>
        <v>-5.5695810254627236E-3</v>
      </c>
      <c r="G316" s="82">
        <f t="shared" si="68"/>
        <v>300898.82119152404</v>
      </c>
      <c r="H316" s="101">
        <f t="shared" si="70"/>
        <v>3.4924722516066864E-3</v>
      </c>
    </row>
    <row r="317" spans="2:8" x14ac:dyDescent="0.2">
      <c r="B317" s="75">
        <f t="shared" si="69"/>
        <v>2020</v>
      </c>
      <c r="C317" s="82">
        <f t="shared" si="66"/>
        <v>122.08333333333333</v>
      </c>
      <c r="D317" s="101">
        <f t="shared" si="71"/>
        <v>-7.6874606175173318E-2</v>
      </c>
      <c r="E317" s="82">
        <f t="shared" si="67"/>
        <v>125161845.88317287</v>
      </c>
      <c r="F317" s="101">
        <f t="shared" si="70"/>
        <v>-2.5634657506969083E-2</v>
      </c>
      <c r="G317" s="82">
        <f t="shared" si="68"/>
        <v>281171.19930808013</v>
      </c>
      <c r="H317" s="101">
        <f t="shared" si="70"/>
        <v>-6.5562310298607471E-2</v>
      </c>
    </row>
    <row r="318" spans="2:8" x14ac:dyDescent="0.2">
      <c r="B318" s="75">
        <f>+B319-1</f>
        <v>2021</v>
      </c>
      <c r="C318" s="82">
        <f t="shared" si="66"/>
        <v>126</v>
      </c>
      <c r="D318" s="101">
        <f t="shared" si="71"/>
        <v>3.2081911262798676E-2</v>
      </c>
      <c r="E318" s="82">
        <f t="shared" si="67"/>
        <v>130759586.91982318</v>
      </c>
      <c r="F318" s="101">
        <f t="shared" si="70"/>
        <v>4.4724021103646025E-2</v>
      </c>
      <c r="G318" s="82">
        <f t="shared" si="68"/>
        <v>301675.62</v>
      </c>
      <c r="H318" s="101">
        <f t="shared" si="70"/>
        <v>7.2925039059399205E-2</v>
      </c>
    </row>
    <row r="319" spans="2:8" x14ac:dyDescent="0.2">
      <c r="B319" s="75">
        <v>2022</v>
      </c>
      <c r="C319" s="82">
        <f t="shared" si="66"/>
        <v>125.75</v>
      </c>
      <c r="D319" s="101">
        <f t="shared" si="71"/>
        <v>-1.984126984126984E-3</v>
      </c>
      <c r="E319" s="82">
        <f t="shared" si="67"/>
        <v>136159366.09102184</v>
      </c>
      <c r="F319" s="101">
        <f t="shared" si="70"/>
        <v>4.1295474377030503E-2</v>
      </c>
      <c r="G319" s="82">
        <f t="shared" si="68"/>
        <v>317681.46000000008</v>
      </c>
      <c r="H319" s="101">
        <f t="shared" si="70"/>
        <v>5.3056458456934914E-2</v>
      </c>
    </row>
    <row r="320" spans="2:8" x14ac:dyDescent="0.2">
      <c r="B320" s="88" t="str">
        <f>+B303</f>
        <v>2023 Bridge</v>
      </c>
      <c r="C320" s="88">
        <f t="shared" si="66"/>
        <v>126</v>
      </c>
      <c r="D320" s="123">
        <f t="shared" si="71"/>
        <v>1.9880715705765406E-3</v>
      </c>
      <c r="E320" s="88">
        <f t="shared" si="67"/>
        <v>133009595.25443071</v>
      </c>
      <c r="F320" s="123">
        <f t="shared" si="70"/>
        <v>-2.3132972244344314E-2</v>
      </c>
      <c r="G320" s="88">
        <f t="shared" si="68"/>
        <v>312958.84992735123</v>
      </c>
      <c r="H320" s="123">
        <f t="shared" si="70"/>
        <v>-1.4865866181327831E-2</v>
      </c>
    </row>
    <row r="321" spans="2:8" x14ac:dyDescent="0.2">
      <c r="B321" s="88" t="str">
        <f>+B304</f>
        <v>2024 Test</v>
      </c>
      <c r="C321" s="88">
        <f t="shared" si="66"/>
        <v>126.13411514324987</v>
      </c>
      <c r="D321" s="123">
        <f t="shared" si="71"/>
        <v>1.0644058988085075E-3</v>
      </c>
      <c r="E321" s="88">
        <f t="shared" si="67"/>
        <v>135154245.19000375</v>
      </c>
      <c r="F321" s="123">
        <f t="shared" si="70"/>
        <v>1.6124024221490146E-2</v>
      </c>
      <c r="G321" s="88">
        <f t="shared" si="68"/>
        <v>317655.44335731986</v>
      </c>
      <c r="H321" s="123">
        <f t="shared" si="70"/>
        <v>1.5007063807458644E-2</v>
      </c>
    </row>
    <row r="324" spans="2:8" x14ac:dyDescent="0.2">
      <c r="B324" s="47" t="s">
        <v>203</v>
      </c>
    </row>
    <row r="325" spans="2:8" ht="25.5" x14ac:dyDescent="0.2">
      <c r="B325" s="95" t="s">
        <v>111</v>
      </c>
      <c r="C325" s="76" t="s">
        <v>235</v>
      </c>
      <c r="D325" s="76" t="s">
        <v>200</v>
      </c>
      <c r="E325" s="96" t="s">
        <v>61</v>
      </c>
      <c r="F325" s="96" t="s">
        <v>200</v>
      </c>
      <c r="G325" s="96" t="s">
        <v>62</v>
      </c>
      <c r="H325" s="96" t="s">
        <v>200</v>
      </c>
    </row>
    <row r="326" spans="2:8" x14ac:dyDescent="0.2">
      <c r="B326" s="88" t="s">
        <v>183</v>
      </c>
      <c r="C326" s="88">
        <f t="shared" ref="C326:C338" si="72">+F50</f>
        <v>2870</v>
      </c>
      <c r="D326" s="88"/>
      <c r="E326" s="88">
        <f t="shared" ref="E326:E338" si="73">+G28</f>
        <v>1861618</v>
      </c>
      <c r="F326" s="88"/>
      <c r="G326" s="88">
        <f t="shared" ref="G326:G338" si="74">+H28</f>
        <v>5230</v>
      </c>
      <c r="H326" s="88"/>
    </row>
    <row r="327" spans="2:8" x14ac:dyDescent="0.2">
      <c r="B327" s="75">
        <f t="shared" ref="B327:B334" si="75">+B328-1</f>
        <v>2013</v>
      </c>
      <c r="C327" s="82">
        <f t="shared" si="72"/>
        <v>2853.9166666666665</v>
      </c>
      <c r="D327" s="82"/>
      <c r="E327" s="82">
        <f t="shared" si="73"/>
        <v>1712978.1604808702</v>
      </c>
      <c r="F327" s="82"/>
      <c r="G327" s="82">
        <f t="shared" si="74"/>
        <v>4780.3</v>
      </c>
      <c r="H327" s="82"/>
    </row>
    <row r="328" spans="2:8" x14ac:dyDescent="0.2">
      <c r="B328" s="75">
        <f t="shared" si="75"/>
        <v>2014</v>
      </c>
      <c r="C328" s="82">
        <f t="shared" si="72"/>
        <v>2895.75</v>
      </c>
      <c r="D328" s="101">
        <f>+(C328-C327)/C327</f>
        <v>1.4658218238093901E-2</v>
      </c>
      <c r="E328" s="82">
        <f t="shared" si="73"/>
        <v>1731641.5322965365</v>
      </c>
      <c r="F328" s="101">
        <f t="shared" ref="F328" si="76">+(E328-E327)/E327</f>
        <v>1.0895277153111579E-2</v>
      </c>
      <c r="G328" s="82">
        <f t="shared" si="74"/>
        <v>4826.93</v>
      </c>
      <c r="H328" s="101">
        <f t="shared" ref="H328" si="77">+(G328-G327)/G327</f>
        <v>9.7546179110097921E-3</v>
      </c>
    </row>
    <row r="329" spans="2:8" x14ac:dyDescent="0.2">
      <c r="B329" s="75">
        <f t="shared" si="75"/>
        <v>2015</v>
      </c>
      <c r="C329" s="82">
        <f t="shared" si="72"/>
        <v>2916.25</v>
      </c>
      <c r="D329" s="101">
        <f t="shared" ref="D329:D338" si="78">+(C329-C328)/C328</f>
        <v>7.0793404126737458E-3</v>
      </c>
      <c r="E329" s="82">
        <f t="shared" si="73"/>
        <v>1629825.7799828262</v>
      </c>
      <c r="F329" s="101">
        <f t="shared" ref="F329" si="79">+(E329-E328)/E328</f>
        <v>-5.879724551228583E-2</v>
      </c>
      <c r="G329" s="82">
        <f t="shared" si="74"/>
        <v>4599.0700000000006</v>
      </c>
      <c r="H329" s="101">
        <f t="shared" ref="H329" si="80">+(G329-G328)/G328</f>
        <v>-4.7205988071092733E-2</v>
      </c>
    </row>
    <row r="330" spans="2:8" x14ac:dyDescent="0.2">
      <c r="B330" s="75">
        <f t="shared" si="75"/>
        <v>2016</v>
      </c>
      <c r="C330" s="82">
        <f t="shared" si="72"/>
        <v>2852.25</v>
      </c>
      <c r="D330" s="101">
        <f t="shared" si="78"/>
        <v>-2.1945992284612088E-2</v>
      </c>
      <c r="E330" s="82">
        <f t="shared" si="73"/>
        <v>890659.09741436888</v>
      </c>
      <c r="F330" s="101">
        <f t="shared" ref="F330" si="81">+(E330-E329)/E329</f>
        <v>-0.45352496668462688</v>
      </c>
      <c r="G330" s="82">
        <f t="shared" si="74"/>
        <v>2461.8700000000003</v>
      </c>
      <c r="H330" s="101">
        <f t="shared" ref="H330" si="82">+(G330-G329)/G329</f>
        <v>-0.46470264640459918</v>
      </c>
    </row>
    <row r="331" spans="2:8" x14ac:dyDescent="0.2">
      <c r="B331" s="75">
        <f t="shared" si="75"/>
        <v>2017</v>
      </c>
      <c r="C331" s="82">
        <f t="shared" si="72"/>
        <v>2876.75</v>
      </c>
      <c r="D331" s="101">
        <f t="shared" si="78"/>
        <v>8.58970987816636E-3</v>
      </c>
      <c r="E331" s="82">
        <f t="shared" si="73"/>
        <v>863294.61883408076</v>
      </c>
      <c r="F331" s="101">
        <f t="shared" ref="F331" si="83">+(E331-E330)/E330</f>
        <v>-3.0723852324338989E-2</v>
      </c>
      <c r="G331" s="82">
        <f t="shared" si="74"/>
        <v>2404.58</v>
      </c>
      <c r="H331" s="101">
        <f t="shared" ref="H331" si="84">+(G331-G330)/G330</f>
        <v>-2.3270928196858651E-2</v>
      </c>
    </row>
    <row r="332" spans="2:8" x14ac:dyDescent="0.2">
      <c r="B332" s="75">
        <f t="shared" si="75"/>
        <v>2018</v>
      </c>
      <c r="C332" s="82">
        <f t="shared" si="72"/>
        <v>2900</v>
      </c>
      <c r="D332" s="101">
        <f t="shared" si="78"/>
        <v>8.082037020943773E-3</v>
      </c>
      <c r="E332" s="82">
        <f t="shared" si="73"/>
        <v>870905.41933021648</v>
      </c>
      <c r="F332" s="101">
        <f t="shared" ref="F332" si="85">+(E332-E331)/E331</f>
        <v>8.8159943663432758E-3</v>
      </c>
      <c r="G332" s="82">
        <f t="shared" si="74"/>
        <v>2423.3099999999995</v>
      </c>
      <c r="H332" s="101">
        <f t="shared" ref="H332" si="86">+(G332-G331)/G331</f>
        <v>7.7893020818602682E-3</v>
      </c>
    </row>
    <row r="333" spans="2:8" x14ac:dyDescent="0.2">
      <c r="B333" s="75">
        <f t="shared" si="75"/>
        <v>2019</v>
      </c>
      <c r="C333" s="82">
        <f t="shared" si="72"/>
        <v>2939</v>
      </c>
      <c r="D333" s="101">
        <f t="shared" si="78"/>
        <v>1.3448275862068966E-2</v>
      </c>
      <c r="E333" s="82">
        <f t="shared" si="73"/>
        <v>883464.17326590978</v>
      </c>
      <c r="F333" s="101">
        <f t="shared" ref="F333" si="87">+(E333-E332)/E332</f>
        <v>1.4420341930300314E-2</v>
      </c>
      <c r="G333" s="82">
        <f t="shared" si="74"/>
        <v>2459.6399999999994</v>
      </c>
      <c r="H333" s="101">
        <f t="shared" ref="H333" si="88">+(G333-G332)/G332</f>
        <v>1.4991891256174379E-2</v>
      </c>
    </row>
    <row r="334" spans="2:8" x14ac:dyDescent="0.2">
      <c r="B334" s="75">
        <f t="shared" si="75"/>
        <v>2020</v>
      </c>
      <c r="C334" s="82">
        <f t="shared" si="72"/>
        <v>2944.1666666666665</v>
      </c>
      <c r="D334" s="101">
        <f t="shared" si="78"/>
        <v>1.7579675626629857E-3</v>
      </c>
      <c r="E334" s="82">
        <f t="shared" si="73"/>
        <v>881690.64974716154</v>
      </c>
      <c r="F334" s="101">
        <f t="shared" ref="F334" si="89">+(E334-E333)/E333</f>
        <v>-2.0074651269581562E-3</v>
      </c>
      <c r="G334" s="82">
        <f t="shared" si="74"/>
        <v>2445.92</v>
      </c>
      <c r="H334" s="101">
        <f t="shared" ref="H334" si="90">+(G334-G333)/G333</f>
        <v>-5.578052072660775E-3</v>
      </c>
    </row>
    <row r="335" spans="2:8" x14ac:dyDescent="0.2">
      <c r="B335" s="75">
        <f>+B336-1</f>
        <v>2021</v>
      </c>
      <c r="C335" s="82">
        <f t="shared" si="72"/>
        <v>2965.9166666666665</v>
      </c>
      <c r="D335" s="101">
        <f t="shared" si="78"/>
        <v>7.3874893857911132E-3</v>
      </c>
      <c r="E335" s="82">
        <f t="shared" si="73"/>
        <v>870117.8322679135</v>
      </c>
      <c r="F335" s="101">
        <f t="shared" ref="F335" si="91">+(E335-E334)/E334</f>
        <v>-1.3125711929197306E-2</v>
      </c>
      <c r="G335" s="82">
        <f t="shared" si="74"/>
        <v>2420.3500000000004</v>
      </c>
      <c r="H335" s="101">
        <f t="shared" ref="H335" si="92">+(G335-G334)/G334</f>
        <v>-1.04541440439588E-2</v>
      </c>
    </row>
    <row r="336" spans="2:8" x14ac:dyDescent="0.2">
      <c r="B336" s="75">
        <v>2022</v>
      </c>
      <c r="C336" s="82">
        <f t="shared" si="72"/>
        <v>2985</v>
      </c>
      <c r="D336" s="101">
        <f t="shared" si="78"/>
        <v>6.4342108960130885E-3</v>
      </c>
      <c r="E336" s="82">
        <f t="shared" si="73"/>
        <v>875006.27802690573</v>
      </c>
      <c r="F336" s="101">
        <f t="shared" ref="F336" si="93">+(E336-E335)/E335</f>
        <v>5.6181422535046353E-3</v>
      </c>
      <c r="G336" s="82">
        <f t="shared" si="74"/>
        <v>2434.08</v>
      </c>
      <c r="H336" s="101">
        <f t="shared" ref="H336" si="94">+(G336-G335)/G335</f>
        <v>5.6727332823763342E-3</v>
      </c>
    </row>
    <row r="337" spans="2:8" x14ac:dyDescent="0.2">
      <c r="B337" s="88" t="str">
        <f>+B320</f>
        <v>2023 Bridge</v>
      </c>
      <c r="C337" s="88">
        <f t="shared" si="72"/>
        <v>2963</v>
      </c>
      <c r="D337" s="123">
        <f t="shared" si="78"/>
        <v>-7.3701842546063647E-3</v>
      </c>
      <c r="E337" s="88">
        <f t="shared" si="73"/>
        <v>864270.66831873998</v>
      </c>
      <c r="F337" s="123">
        <f t="shared" ref="F337" si="95">+(E337-E336)/E336</f>
        <v>-1.2269180207911193E-2</v>
      </c>
      <c r="G337" s="88">
        <f t="shared" si="74"/>
        <v>2424.0839715283414</v>
      </c>
      <c r="H337" s="123">
        <f t="shared" ref="H337" si="96">+(G337-G336)/G336</f>
        <v>-4.1066967690702519E-3</v>
      </c>
    </row>
    <row r="338" spans="2:8" x14ac:dyDescent="0.2">
      <c r="B338" s="88" t="str">
        <f>+B321</f>
        <v>2024 Test</v>
      </c>
      <c r="C338" s="88">
        <f t="shared" si="72"/>
        <v>2974.135068550856</v>
      </c>
      <c r="D338" s="123">
        <f t="shared" si="78"/>
        <v>3.7580386604306368E-3</v>
      </c>
      <c r="E338" s="88">
        <f t="shared" si="73"/>
        <v>867518.63090335811</v>
      </c>
      <c r="F338" s="123">
        <f t="shared" ref="F338" si="97">+(E338-E337)/E337</f>
        <v>3.7580386604307305E-3</v>
      </c>
      <c r="G338" s="88">
        <f t="shared" si="74"/>
        <v>2415.7713744567136</v>
      </c>
      <c r="H338" s="123">
        <f t="shared" ref="H338" si="98">+(G338-G337)/G337</f>
        <v>-3.4291704286080744E-3</v>
      </c>
    </row>
    <row r="341" spans="2:8" x14ac:dyDescent="0.2">
      <c r="B341" s="15" t="s">
        <v>204</v>
      </c>
      <c r="C341" s="15"/>
      <c r="D341" s="15"/>
      <c r="E341" s="15"/>
      <c r="F341" s="15"/>
    </row>
    <row r="342" spans="2:8" ht="25.5" x14ac:dyDescent="0.2">
      <c r="B342" s="95" t="s">
        <v>111</v>
      </c>
      <c r="C342" s="76" t="s">
        <v>235</v>
      </c>
      <c r="D342" s="76" t="s">
        <v>200</v>
      </c>
      <c r="E342" s="96" t="s">
        <v>61</v>
      </c>
      <c r="F342" s="96" t="s">
        <v>200</v>
      </c>
      <c r="G342" s="96" t="s">
        <v>62</v>
      </c>
      <c r="H342" s="96" t="s">
        <v>200</v>
      </c>
    </row>
    <row r="343" spans="2:8" x14ac:dyDescent="0.2">
      <c r="B343" s="88" t="s">
        <v>183</v>
      </c>
      <c r="C343" s="88">
        <f t="shared" ref="C343:C355" si="99">+G50</f>
        <v>155</v>
      </c>
      <c r="D343" s="88"/>
      <c r="E343" s="88">
        <f t="shared" ref="E343:E355" si="100">+I28</f>
        <v>122536</v>
      </c>
      <c r="F343" s="88"/>
      <c r="G343" s="88">
        <f t="shared" ref="G343:G355" si="101">+J28</f>
        <v>339</v>
      </c>
      <c r="H343" s="88"/>
    </row>
    <row r="344" spans="2:8" x14ac:dyDescent="0.2">
      <c r="B344" s="136">
        <f t="shared" ref="B344:B351" si="102">+B345-1</f>
        <v>2013</v>
      </c>
      <c r="C344" s="137">
        <f t="shared" si="99"/>
        <v>156</v>
      </c>
      <c r="D344" s="137"/>
      <c r="E344" s="137">
        <f t="shared" si="100"/>
        <v>106011.51098813729</v>
      </c>
      <c r="F344" s="137"/>
      <c r="G344" s="82">
        <f t="shared" si="101"/>
        <v>292.3</v>
      </c>
      <c r="H344" s="82"/>
    </row>
    <row r="345" spans="2:8" x14ac:dyDescent="0.2">
      <c r="B345" s="136">
        <f t="shared" si="102"/>
        <v>2014</v>
      </c>
      <c r="C345" s="137">
        <f t="shared" si="99"/>
        <v>152.16666666666666</v>
      </c>
      <c r="D345" s="122">
        <f>+(C345-C344)/C344</f>
        <v>-2.4572649572649635E-2</v>
      </c>
      <c r="E345" s="137">
        <f t="shared" si="100"/>
        <v>105133.19775921054</v>
      </c>
      <c r="F345" s="122">
        <f t="shared" ref="F345" si="103">+(E345-E344)/E344</f>
        <v>-8.2850741465710816E-3</v>
      </c>
      <c r="G345" s="82">
        <f t="shared" si="101"/>
        <v>289.40000000000003</v>
      </c>
      <c r="H345" s="101">
        <f t="shared" ref="H345:H355" si="104">+(G345-G344)/G344</f>
        <v>-9.921313718781995E-3</v>
      </c>
    </row>
    <row r="346" spans="2:8" x14ac:dyDescent="0.2">
      <c r="B346" s="136">
        <f t="shared" si="102"/>
        <v>2015</v>
      </c>
      <c r="C346" s="137">
        <f t="shared" si="99"/>
        <v>150.83333333333334</v>
      </c>
      <c r="D346" s="122">
        <f t="shared" ref="D346:D355" si="105">+(C346-C345)/C345</f>
        <v>-8.7623220153339402E-3</v>
      </c>
      <c r="E346" s="137">
        <f t="shared" si="100"/>
        <v>104029.99681696936</v>
      </c>
      <c r="F346" s="122">
        <f t="shared" ref="F346" si="106">+(E346-E345)/E345</f>
        <v>-1.0493364282211513E-2</v>
      </c>
      <c r="G346" s="82">
        <f t="shared" si="101"/>
        <v>286.49</v>
      </c>
      <c r="H346" s="101">
        <f t="shared" si="104"/>
        <v>-1.0055286800276519E-2</v>
      </c>
    </row>
    <row r="347" spans="2:8" x14ac:dyDescent="0.2">
      <c r="B347" s="136">
        <f t="shared" si="102"/>
        <v>2016</v>
      </c>
      <c r="C347" s="137">
        <f t="shared" si="99"/>
        <v>152.41666666666666</v>
      </c>
      <c r="D347" s="122">
        <f t="shared" si="105"/>
        <v>1.0497237569060647E-2</v>
      </c>
      <c r="E347" s="137">
        <f t="shared" si="100"/>
        <v>105564.9286945004</v>
      </c>
      <c r="F347" s="122">
        <f t="shared" ref="F347" si="107">+(E347-E346)/E346</f>
        <v>1.4754704647656594E-2</v>
      </c>
      <c r="G347" s="82">
        <f t="shared" si="101"/>
        <v>289.30000000000007</v>
      </c>
      <c r="H347" s="101">
        <f t="shared" si="104"/>
        <v>9.8083702747043845E-3</v>
      </c>
    </row>
    <row r="348" spans="2:8" x14ac:dyDescent="0.2">
      <c r="B348" s="136">
        <f t="shared" si="102"/>
        <v>2017</v>
      </c>
      <c r="C348" s="137">
        <f t="shared" si="99"/>
        <v>150.83333333333334</v>
      </c>
      <c r="D348" s="122">
        <f t="shared" si="105"/>
        <v>-1.0388190267905837E-2</v>
      </c>
      <c r="E348" s="137">
        <f t="shared" si="100"/>
        <v>103381.18500143119</v>
      </c>
      <c r="F348" s="122">
        <f t="shared" ref="F348" si="108">+(E348-E347)/E347</f>
        <v>-2.0686261242963088E-2</v>
      </c>
      <c r="G348" s="82">
        <f t="shared" si="101"/>
        <v>310.00000000000006</v>
      </c>
      <c r="H348" s="101">
        <f t="shared" si="104"/>
        <v>7.1552022122364278E-2</v>
      </c>
    </row>
    <row r="349" spans="2:8" x14ac:dyDescent="0.2">
      <c r="B349" s="136">
        <f t="shared" si="102"/>
        <v>2018</v>
      </c>
      <c r="C349" s="137">
        <f t="shared" si="99"/>
        <v>153.66666666666666</v>
      </c>
      <c r="D349" s="122">
        <f t="shared" si="105"/>
        <v>1.8784530386740203E-2</v>
      </c>
      <c r="E349" s="137">
        <f t="shared" si="100"/>
        <v>102424.28203415705</v>
      </c>
      <c r="F349" s="122">
        <f t="shared" ref="F349" si="109">+(E349-E348)/E348</f>
        <v>-9.2560649915252764E-3</v>
      </c>
      <c r="G349" s="82">
        <f t="shared" si="101"/>
        <v>280.60000000000002</v>
      </c>
      <c r="H349" s="101">
        <f t="shared" si="104"/>
        <v>-9.4838709677419447E-2</v>
      </c>
    </row>
    <row r="350" spans="2:8" x14ac:dyDescent="0.2">
      <c r="B350" s="136">
        <f t="shared" si="102"/>
        <v>2019</v>
      </c>
      <c r="C350" s="137">
        <f t="shared" si="99"/>
        <v>155.5</v>
      </c>
      <c r="D350" s="122">
        <f t="shared" si="105"/>
        <v>1.1930585683297242E-2</v>
      </c>
      <c r="E350" s="137">
        <f t="shared" si="100"/>
        <v>102754.57494513884</v>
      </c>
      <c r="F350" s="122">
        <f t="shared" ref="F350" si="110">+(E350-E349)/E349</f>
        <v>3.2247520258100941E-3</v>
      </c>
      <c r="G350" s="82">
        <f t="shared" si="101"/>
        <v>283.8</v>
      </c>
      <c r="H350" s="101">
        <f t="shared" si="104"/>
        <v>1.1404133998574442E-2</v>
      </c>
    </row>
    <row r="351" spans="2:8" x14ac:dyDescent="0.2">
      <c r="B351" s="136">
        <f t="shared" si="102"/>
        <v>2020</v>
      </c>
      <c r="C351" s="137">
        <f t="shared" si="99"/>
        <v>157.66666666666666</v>
      </c>
      <c r="D351" s="122">
        <f t="shared" si="105"/>
        <v>1.3933547695605512E-2</v>
      </c>
      <c r="E351" s="137">
        <f t="shared" si="100"/>
        <v>102755.519511497</v>
      </c>
      <c r="F351" s="122">
        <f t="shared" ref="F351" si="111">+(E351-E350)/E350</f>
        <v>9.1924506394155754E-6</v>
      </c>
      <c r="G351" s="82">
        <f t="shared" si="101"/>
        <v>282.2</v>
      </c>
      <c r="H351" s="101">
        <f t="shared" si="104"/>
        <v>-5.6377730796336248E-3</v>
      </c>
    </row>
    <row r="352" spans="2:8" x14ac:dyDescent="0.2">
      <c r="B352" s="136">
        <f>+B353-1</f>
        <v>2021</v>
      </c>
      <c r="C352" s="137">
        <f t="shared" si="99"/>
        <v>158</v>
      </c>
      <c r="D352" s="122">
        <f t="shared" si="105"/>
        <v>2.1141649048626397E-3</v>
      </c>
      <c r="E352" s="137">
        <f t="shared" si="100"/>
        <v>102474.81156378207</v>
      </c>
      <c r="F352" s="122">
        <f t="shared" ref="F352" si="112">+(E352-E351)/E351</f>
        <v>-2.731804082636321E-3</v>
      </c>
      <c r="G352" s="82">
        <f t="shared" si="101"/>
        <v>282</v>
      </c>
      <c r="H352" s="101">
        <f t="shared" si="104"/>
        <v>-7.0871722182845012E-4</v>
      </c>
    </row>
    <row r="353" spans="2:8" x14ac:dyDescent="0.2">
      <c r="B353" s="136">
        <v>2022</v>
      </c>
      <c r="C353" s="137">
        <f t="shared" si="99"/>
        <v>157.25</v>
      </c>
      <c r="D353" s="122">
        <f t="shared" si="105"/>
        <v>-4.7468354430379748E-3</v>
      </c>
      <c r="E353" s="137">
        <f t="shared" si="100"/>
        <v>99742.972998759651</v>
      </c>
      <c r="F353" s="122">
        <f t="shared" ref="F353" si="113">+(E353-E352)/E352</f>
        <v>-2.6658634676503697E-2</v>
      </c>
      <c r="G353" s="82">
        <f t="shared" si="101"/>
        <v>278.2</v>
      </c>
      <c r="H353" s="101">
        <f t="shared" si="104"/>
        <v>-1.3475177304964579E-2</v>
      </c>
    </row>
    <row r="354" spans="2:8" x14ac:dyDescent="0.2">
      <c r="B354" s="88" t="str">
        <f>+B337</f>
        <v>2023 Bridge</v>
      </c>
      <c r="C354" s="88">
        <f t="shared" si="99"/>
        <v>157</v>
      </c>
      <c r="D354" s="123">
        <f t="shared" si="105"/>
        <v>-1.589825119236884E-3</v>
      </c>
      <c r="E354" s="88">
        <f t="shared" si="100"/>
        <v>99127.487835130218</v>
      </c>
      <c r="F354" s="123">
        <f t="shared" ref="F354" si="114">+(E354-E353)/E353</f>
        <v>-6.1707120323863541E-3</v>
      </c>
      <c r="G354" s="88">
        <f t="shared" si="101"/>
        <v>275.53977957995676</v>
      </c>
      <c r="H354" s="123">
        <f t="shared" si="104"/>
        <v>-9.5622588786600689E-3</v>
      </c>
    </row>
    <row r="355" spans="2:8" x14ac:dyDescent="0.2">
      <c r="B355" s="88" t="str">
        <f>+B338</f>
        <v>2024 Test</v>
      </c>
      <c r="C355" s="88">
        <f t="shared" si="99"/>
        <v>157.10035188815147</v>
      </c>
      <c r="D355" s="123">
        <f t="shared" si="105"/>
        <v>6.3918400096474597E-4</v>
      </c>
      <c r="E355" s="88">
        <f t="shared" si="100"/>
        <v>99190.848539410261</v>
      </c>
      <c r="F355" s="123">
        <f t="shared" ref="F355" si="115">+(E355-E354)/E354</f>
        <v>6.391840009647502E-4</v>
      </c>
      <c r="G355" s="88">
        <f t="shared" si="101"/>
        <v>275.71590019869365</v>
      </c>
      <c r="H355" s="123">
        <f t="shared" si="104"/>
        <v>6.3918400096484571E-4</v>
      </c>
    </row>
    <row r="358" spans="2:8" x14ac:dyDescent="0.2">
      <c r="B358" s="15" t="s">
        <v>205</v>
      </c>
      <c r="C358" s="15"/>
      <c r="D358" s="15"/>
      <c r="E358" s="15"/>
      <c r="F358" s="15"/>
    </row>
    <row r="359" spans="2:8" ht="25.5" x14ac:dyDescent="0.2">
      <c r="B359" s="95" t="s">
        <v>111</v>
      </c>
      <c r="C359" s="76" t="s">
        <v>235</v>
      </c>
      <c r="D359" s="76" t="s">
        <v>200</v>
      </c>
      <c r="E359" s="96" t="s">
        <v>61</v>
      </c>
      <c r="F359" s="96" t="s">
        <v>200</v>
      </c>
    </row>
    <row r="360" spans="2:8" x14ac:dyDescent="0.2">
      <c r="B360" s="88" t="s">
        <v>183</v>
      </c>
      <c r="C360" s="88">
        <f t="shared" ref="C360:C372" si="116">+H50</f>
        <v>104</v>
      </c>
      <c r="D360" s="88"/>
      <c r="E360" s="88">
        <f t="shared" ref="E360:E372" si="117">+K28</f>
        <v>358304</v>
      </c>
      <c r="F360" s="88"/>
    </row>
    <row r="361" spans="2:8" x14ac:dyDescent="0.2">
      <c r="B361" s="136">
        <f t="shared" ref="B361:B368" si="118">+B362-1</f>
        <v>2013</v>
      </c>
      <c r="C361" s="137">
        <f t="shared" si="116"/>
        <v>103.75</v>
      </c>
      <c r="D361" s="137"/>
      <c r="E361" s="137">
        <f t="shared" si="117"/>
        <v>384409.53280539409</v>
      </c>
      <c r="F361" s="137"/>
    </row>
    <row r="362" spans="2:8" x14ac:dyDescent="0.2">
      <c r="B362" s="136">
        <f t="shared" si="118"/>
        <v>2014</v>
      </c>
      <c r="C362" s="137">
        <f t="shared" si="116"/>
        <v>104</v>
      </c>
      <c r="D362" s="122">
        <f>+(C362-C361)/C361</f>
        <v>2.4096385542168677E-3</v>
      </c>
      <c r="E362" s="137">
        <f t="shared" si="117"/>
        <v>386243.36172938795</v>
      </c>
      <c r="F362" s="122">
        <f t="shared" ref="F362:F372" si="119">+(E362-E361)/E361</f>
        <v>4.7705084486607402E-3</v>
      </c>
    </row>
    <row r="363" spans="2:8" x14ac:dyDescent="0.2">
      <c r="B363" s="136">
        <f t="shared" si="118"/>
        <v>2015</v>
      </c>
      <c r="C363" s="137">
        <f t="shared" si="116"/>
        <v>96.5</v>
      </c>
      <c r="D363" s="122">
        <f t="shared" ref="D363:D372" si="120">+(C363-C362)/C362</f>
        <v>-7.2115384615384609E-2</v>
      </c>
      <c r="E363" s="137">
        <f t="shared" si="117"/>
        <v>382513.80184551654</v>
      </c>
      <c r="F363" s="122">
        <f t="shared" si="119"/>
        <v>-9.655984421770937E-3</v>
      </c>
    </row>
    <row r="364" spans="2:8" x14ac:dyDescent="0.2">
      <c r="B364" s="136">
        <f t="shared" si="118"/>
        <v>2016</v>
      </c>
      <c r="C364" s="137">
        <f t="shared" si="116"/>
        <v>97</v>
      </c>
      <c r="D364" s="122">
        <f t="shared" si="120"/>
        <v>5.1813471502590676E-3</v>
      </c>
      <c r="E364" s="137">
        <f t="shared" si="117"/>
        <v>401383.11638747668</v>
      </c>
      <c r="F364" s="122">
        <f t="shared" si="119"/>
        <v>4.932976130775215E-2</v>
      </c>
    </row>
    <row r="365" spans="2:8" x14ac:dyDescent="0.2">
      <c r="B365" s="136">
        <f t="shared" si="118"/>
        <v>2017</v>
      </c>
      <c r="C365" s="137">
        <f t="shared" si="116"/>
        <v>97</v>
      </c>
      <c r="D365" s="122">
        <f t="shared" si="120"/>
        <v>0</v>
      </c>
      <c r="E365" s="137">
        <f t="shared" si="117"/>
        <v>380609.58741668583</v>
      </c>
      <c r="F365" s="122">
        <f t="shared" si="119"/>
        <v>-5.1754864922462382E-2</v>
      </c>
    </row>
    <row r="366" spans="2:8" x14ac:dyDescent="0.2">
      <c r="B366" s="136">
        <f t="shared" si="118"/>
        <v>2018</v>
      </c>
      <c r="C366" s="137">
        <f t="shared" si="116"/>
        <v>97</v>
      </c>
      <c r="D366" s="122">
        <f t="shared" si="120"/>
        <v>0</v>
      </c>
      <c r="E366" s="137">
        <f t="shared" si="117"/>
        <v>375339.18519225245</v>
      </c>
      <c r="F366" s="122">
        <f t="shared" si="119"/>
        <v>-1.3847266066536091E-2</v>
      </c>
    </row>
    <row r="367" spans="2:8" x14ac:dyDescent="0.2">
      <c r="B367" s="136">
        <f t="shared" si="118"/>
        <v>2019</v>
      </c>
      <c r="C367" s="137">
        <f t="shared" si="116"/>
        <v>97</v>
      </c>
      <c r="D367" s="122">
        <f t="shared" si="120"/>
        <v>0</v>
      </c>
      <c r="E367" s="137">
        <f t="shared" si="117"/>
        <v>375339.18519225245</v>
      </c>
      <c r="F367" s="122">
        <f t="shared" si="119"/>
        <v>0</v>
      </c>
    </row>
    <row r="368" spans="2:8" x14ac:dyDescent="0.2">
      <c r="B368" s="136">
        <f t="shared" si="118"/>
        <v>2020</v>
      </c>
      <c r="C368" s="137">
        <f t="shared" si="116"/>
        <v>97</v>
      </c>
      <c r="D368" s="122">
        <f t="shared" si="120"/>
        <v>0</v>
      </c>
      <c r="E368" s="137">
        <f t="shared" si="117"/>
        <v>375339.18519225245</v>
      </c>
      <c r="F368" s="122">
        <f t="shared" si="119"/>
        <v>0</v>
      </c>
    </row>
    <row r="369" spans="2:14" x14ac:dyDescent="0.2">
      <c r="B369" s="136">
        <f>+B370-1</f>
        <v>2021</v>
      </c>
      <c r="C369" s="137">
        <f t="shared" si="116"/>
        <v>98</v>
      </c>
      <c r="D369" s="122">
        <f t="shared" si="120"/>
        <v>1.0309278350515464E-2</v>
      </c>
      <c r="E369" s="137">
        <f t="shared" si="117"/>
        <v>375339.18519225245</v>
      </c>
      <c r="F369" s="122">
        <f t="shared" si="119"/>
        <v>0</v>
      </c>
    </row>
    <row r="370" spans="2:14" x14ac:dyDescent="0.2">
      <c r="B370" s="136">
        <v>2022</v>
      </c>
      <c r="C370" s="137">
        <f t="shared" si="116"/>
        <v>98</v>
      </c>
      <c r="D370" s="122">
        <f t="shared" si="120"/>
        <v>0</v>
      </c>
      <c r="E370" s="137">
        <f t="shared" si="117"/>
        <v>375339.18519225251</v>
      </c>
      <c r="F370" s="122">
        <f t="shared" si="119"/>
        <v>1.5508016005217486E-16</v>
      </c>
    </row>
    <row r="371" spans="2:14" x14ac:dyDescent="0.2">
      <c r="B371" s="88" t="str">
        <f>+B354</f>
        <v>2023 Bridge</v>
      </c>
      <c r="C371" s="88">
        <f t="shared" si="116"/>
        <v>97</v>
      </c>
      <c r="D371" s="123">
        <f t="shared" si="120"/>
        <v>-1.020408163265306E-2</v>
      </c>
      <c r="E371" s="88">
        <f t="shared" si="117"/>
        <v>368617.05636627553</v>
      </c>
      <c r="F371" s="123">
        <f t="shared" si="119"/>
        <v>-1.7909477856765308E-2</v>
      </c>
    </row>
    <row r="372" spans="2:14" x14ac:dyDescent="0.2">
      <c r="B372" s="88" t="str">
        <f>+B355</f>
        <v>2024 Test</v>
      </c>
      <c r="C372" s="88">
        <f t="shared" si="116"/>
        <v>96.349640189523058</v>
      </c>
      <c r="D372" s="123">
        <f t="shared" si="120"/>
        <v>-6.7047403141952816E-3</v>
      </c>
      <c r="E372" s="88">
        <f t="shared" si="117"/>
        <v>366145.57472795661</v>
      </c>
      <c r="F372" s="123">
        <f t="shared" si="119"/>
        <v>-6.7047403141951602E-3</v>
      </c>
    </row>
    <row r="375" spans="2:14" x14ac:dyDescent="0.2">
      <c r="B375" s="47" t="s">
        <v>206</v>
      </c>
      <c r="I375" s="47" t="s">
        <v>240</v>
      </c>
    </row>
    <row r="376" spans="2:14" ht="25.5" x14ac:dyDescent="0.2">
      <c r="B376" s="95" t="s">
        <v>207</v>
      </c>
      <c r="C376" s="95"/>
      <c r="D376" s="95" t="s">
        <v>155</v>
      </c>
      <c r="E376" s="95" t="s">
        <v>156</v>
      </c>
      <c r="F376" s="95" t="s">
        <v>208</v>
      </c>
      <c r="G376" s="95" t="s">
        <v>14</v>
      </c>
      <c r="I376" s="95" t="s">
        <v>207</v>
      </c>
      <c r="J376" s="95" t="s">
        <v>185</v>
      </c>
      <c r="K376" s="95" t="s">
        <v>239</v>
      </c>
      <c r="L376" s="95" t="s">
        <v>208</v>
      </c>
      <c r="M376" s="95" t="s">
        <v>14</v>
      </c>
    </row>
    <row r="377" spans="2:14" x14ac:dyDescent="0.2">
      <c r="B377" s="145" t="s">
        <v>100</v>
      </c>
      <c r="C377" s="139" t="str">
        <f>+Summary!A14</f>
        <v xml:space="preserve">  Customers</v>
      </c>
      <c r="D377" s="57">
        <f>+Summary!L14</f>
        <v>11612.666666666666</v>
      </c>
      <c r="E377" s="57">
        <f>+Summary!M14</f>
        <v>11740.5</v>
      </c>
      <c r="F377" s="100">
        <f>+E377-D377</f>
        <v>127.83333333333394</v>
      </c>
      <c r="G377" s="101">
        <f>+(E377-D377)/D377</f>
        <v>1.1008094609334688E-2</v>
      </c>
      <c r="I377" s="145" t="s">
        <v>100</v>
      </c>
      <c r="J377" s="152">
        <f>D399</f>
        <v>10325</v>
      </c>
      <c r="K377" s="168">
        <f>E377</f>
        <v>11740.5</v>
      </c>
      <c r="L377" s="166">
        <f>K377-J377</f>
        <v>1415.5</v>
      </c>
      <c r="M377" s="167">
        <f>L377/J377</f>
        <v>0.13709443099273608</v>
      </c>
      <c r="N377" s="117"/>
    </row>
    <row r="378" spans="2:14" x14ac:dyDescent="0.2">
      <c r="B378" s="139"/>
      <c r="C378" s="139" t="str">
        <f>+Summary!A15</f>
        <v xml:space="preserve">  kWh</v>
      </c>
      <c r="D378" s="57">
        <f>+Summary!L15</f>
        <v>92245274.064317778</v>
      </c>
      <c r="E378" s="57">
        <f>+Summary!M15</f>
        <v>95562230.878257319</v>
      </c>
      <c r="F378" s="100">
        <f t="shared" ref="F378:F388" si="121">+E378-D378</f>
        <v>3316956.8139395416</v>
      </c>
      <c r="G378" s="101">
        <f t="shared" ref="G378:G388" si="122">+(E378-D378)/D378</f>
        <v>3.5958013541450395E-2</v>
      </c>
      <c r="I378" s="145" t="s">
        <v>101</v>
      </c>
      <c r="J378" s="152">
        <f>D401</f>
        <v>1141</v>
      </c>
      <c r="K378" s="168">
        <f>E379</f>
        <v>1168.4834481663743</v>
      </c>
      <c r="L378" s="166">
        <f t="shared" ref="L378:L382" si="123">K378-J378</f>
        <v>27.483448166374274</v>
      </c>
      <c r="M378" s="167">
        <f t="shared" ref="M378:M383" si="124">L378/J378</f>
        <v>2.4087158778592702E-2</v>
      </c>
    </row>
    <row r="379" spans="2:14" x14ac:dyDescent="0.2">
      <c r="B379" s="182" t="s">
        <v>101</v>
      </c>
      <c r="C379" s="183" t="str">
        <f>+Summary!A18</f>
        <v xml:space="preserve">  Customers</v>
      </c>
      <c r="D379" s="184">
        <f>+Summary!L18</f>
        <v>1164.25</v>
      </c>
      <c r="E379" s="184">
        <f>+Summary!M18</f>
        <v>1168.4834481663743</v>
      </c>
      <c r="F379" s="185">
        <f t="shared" si="121"/>
        <v>4.2334481663742736</v>
      </c>
      <c r="G379" s="186">
        <f t="shared" si="122"/>
        <v>3.636201989584946E-3</v>
      </c>
      <c r="I379" s="145" t="s">
        <v>102</v>
      </c>
      <c r="J379" s="152">
        <f>D403</f>
        <v>124</v>
      </c>
      <c r="K379" s="168">
        <f>E381</f>
        <v>126.13411514324987</v>
      </c>
      <c r="L379" s="166">
        <f t="shared" si="123"/>
        <v>2.1341151432498719</v>
      </c>
      <c r="M379" s="167">
        <f t="shared" si="124"/>
        <v>1.7210605993950582E-2</v>
      </c>
    </row>
    <row r="380" spans="2:14" x14ac:dyDescent="0.2">
      <c r="B380" s="187"/>
      <c r="C380" s="183" t="str">
        <f>+Summary!A19</f>
        <v xml:space="preserve">  kWh</v>
      </c>
      <c r="D380" s="184">
        <f>+Summary!L19</f>
        <v>34781027.104293205</v>
      </c>
      <c r="E380" s="184">
        <f>+Summary!M19</f>
        <v>35768954.196158841</v>
      </c>
      <c r="F380" s="185">
        <f t="shared" si="121"/>
        <v>987927.09186563641</v>
      </c>
      <c r="G380" s="186">
        <f t="shared" si="122"/>
        <v>2.8404195451251966E-2</v>
      </c>
      <c r="I380" s="145" t="s">
        <v>236</v>
      </c>
      <c r="J380" s="152">
        <f>D406</f>
        <v>2870</v>
      </c>
      <c r="K380" s="168">
        <f>E384</f>
        <v>2974.135068550856</v>
      </c>
      <c r="L380" s="166">
        <f t="shared" si="123"/>
        <v>104.13506855085598</v>
      </c>
      <c r="M380" s="167">
        <f t="shared" si="124"/>
        <v>3.6283996010751211E-2</v>
      </c>
    </row>
    <row r="381" spans="2:14" x14ac:dyDescent="0.2">
      <c r="B381" s="148" t="s">
        <v>102</v>
      </c>
      <c r="C381" s="139" t="str">
        <f>+Summary!A22</f>
        <v xml:space="preserve">  Customers</v>
      </c>
      <c r="D381" s="57">
        <f>+Summary!L22</f>
        <v>126</v>
      </c>
      <c r="E381" s="57">
        <f>+Summary!M22</f>
        <v>126.13411514324987</v>
      </c>
      <c r="F381" s="100">
        <f t="shared" si="121"/>
        <v>0.13411514324987195</v>
      </c>
      <c r="G381" s="101">
        <f t="shared" si="122"/>
        <v>1.0644058988085075E-3</v>
      </c>
      <c r="I381" s="145" t="s">
        <v>237</v>
      </c>
      <c r="J381" s="152">
        <f>D409</f>
        <v>155</v>
      </c>
      <c r="K381" s="168">
        <f>E387</f>
        <v>157.10035188815147</v>
      </c>
      <c r="L381" s="166">
        <f t="shared" si="123"/>
        <v>2.1003518881514651</v>
      </c>
      <c r="M381" s="167">
        <f t="shared" si="124"/>
        <v>1.3550657342912678E-2</v>
      </c>
    </row>
    <row r="382" spans="2:14" x14ac:dyDescent="0.2">
      <c r="B382" s="149"/>
      <c r="C382" s="139" t="str">
        <f>+Summary!A23</f>
        <v xml:space="preserve">  kWh</v>
      </c>
      <c r="D382" s="57">
        <f>+Summary!L23</f>
        <v>133009595.25443071</v>
      </c>
      <c r="E382" s="57">
        <f>+Summary!M23</f>
        <v>135154245.19000375</v>
      </c>
      <c r="F382" s="100">
        <f t="shared" si="121"/>
        <v>2144649.9355730414</v>
      </c>
      <c r="G382" s="101">
        <f t="shared" si="122"/>
        <v>1.6124024221490146E-2</v>
      </c>
      <c r="I382" s="145" t="s">
        <v>238</v>
      </c>
      <c r="J382" s="152">
        <f>D412</f>
        <v>104</v>
      </c>
      <c r="K382" s="168">
        <f>E390</f>
        <v>96.349640189523058</v>
      </c>
      <c r="L382" s="166">
        <f t="shared" si="123"/>
        <v>-7.6503598104769424</v>
      </c>
      <c r="M382" s="167">
        <f t="shared" si="124"/>
        <v>-7.3561152023816759E-2</v>
      </c>
    </row>
    <row r="383" spans="2:14" x14ac:dyDescent="0.2">
      <c r="B383" s="150"/>
      <c r="C383" s="139" t="str">
        <f>+Summary!A24</f>
        <v xml:space="preserve">  kW</v>
      </c>
      <c r="D383" s="57">
        <f>+Summary!L24</f>
        <v>312958.84992735123</v>
      </c>
      <c r="E383" s="57">
        <f>+Summary!M24</f>
        <v>317655.44335731986</v>
      </c>
      <c r="F383" s="100">
        <f t="shared" si="121"/>
        <v>4696.5934299686342</v>
      </c>
      <c r="G383" s="101">
        <f t="shared" si="122"/>
        <v>1.5007063807458644E-2</v>
      </c>
      <c r="I383" s="194" t="s">
        <v>11</v>
      </c>
      <c r="J383" s="195">
        <f>SUM(J377:J382)</f>
        <v>14719</v>
      </c>
      <c r="K383" s="195">
        <f t="shared" ref="K383:L383" si="125">SUM(K377:K382)</f>
        <v>16262.702623938154</v>
      </c>
      <c r="L383" s="195">
        <f t="shared" si="125"/>
        <v>1543.7026239381546</v>
      </c>
      <c r="M383" s="196">
        <f t="shared" si="124"/>
        <v>0.10487822704926657</v>
      </c>
    </row>
    <row r="384" spans="2:14" x14ac:dyDescent="0.2">
      <c r="B384" s="182" t="s">
        <v>209</v>
      </c>
      <c r="C384" s="183" t="str">
        <f>+Summary!A27</f>
        <v xml:space="preserve">  Connections</v>
      </c>
      <c r="D384" s="184">
        <f>+Summary!L27</f>
        <v>2963</v>
      </c>
      <c r="E384" s="184">
        <f>+Summary!M27</f>
        <v>2974.135068550856</v>
      </c>
      <c r="F384" s="185">
        <f t="shared" si="121"/>
        <v>11.135068550855976</v>
      </c>
      <c r="G384" s="186">
        <f t="shared" si="122"/>
        <v>3.7580386604306368E-3</v>
      </c>
      <c r="I384" s="15" t="s">
        <v>61</v>
      </c>
    </row>
    <row r="385" spans="2:13" ht="25.5" x14ac:dyDescent="0.2">
      <c r="B385" s="188"/>
      <c r="C385" s="183" t="str">
        <f>+Summary!A28</f>
        <v xml:space="preserve">  kWh</v>
      </c>
      <c r="D385" s="184">
        <f>+Summary!L28</f>
        <v>864270.66831873998</v>
      </c>
      <c r="E385" s="184">
        <f>+Summary!M28</f>
        <v>867518.63090335811</v>
      </c>
      <c r="F385" s="185">
        <f t="shared" si="121"/>
        <v>3247.9625846181298</v>
      </c>
      <c r="G385" s="186">
        <f t="shared" si="122"/>
        <v>3.7580386604307305E-3</v>
      </c>
      <c r="I385" s="95" t="s">
        <v>207</v>
      </c>
      <c r="J385" s="95" t="s">
        <v>185</v>
      </c>
      <c r="K385" s="95" t="s">
        <v>239</v>
      </c>
      <c r="L385" s="95" t="s">
        <v>208</v>
      </c>
      <c r="M385" s="95" t="s">
        <v>14</v>
      </c>
    </row>
    <row r="386" spans="2:13" x14ac:dyDescent="0.2">
      <c r="B386" s="187"/>
      <c r="C386" s="183" t="str">
        <f>+Summary!A29</f>
        <v xml:space="preserve">  kW</v>
      </c>
      <c r="D386" s="184">
        <f>+Summary!L29</f>
        <v>2424.0839715283414</v>
      </c>
      <c r="E386" s="184">
        <f>+Summary!M29</f>
        <v>2415.7713744567136</v>
      </c>
      <c r="F386" s="185">
        <f t="shared" si="121"/>
        <v>-8.3125970716278061</v>
      </c>
      <c r="G386" s="186">
        <f t="shared" si="122"/>
        <v>-3.4291704286080744E-3</v>
      </c>
      <c r="I386" s="145" t="s">
        <v>100</v>
      </c>
      <c r="J386" s="152">
        <f>D400</f>
        <v>90278404</v>
      </c>
      <c r="K386" s="168">
        <f>E378</f>
        <v>95562230.878257319</v>
      </c>
      <c r="L386" s="166">
        <f>K386-J386</f>
        <v>5283826.8782573193</v>
      </c>
      <c r="M386" s="167">
        <f>L386/J386</f>
        <v>5.8528137895053164E-2</v>
      </c>
    </row>
    <row r="387" spans="2:13" x14ac:dyDescent="0.2">
      <c r="B387" s="148" t="s">
        <v>68</v>
      </c>
      <c r="C387" s="139" t="str">
        <f>+Summary!A32</f>
        <v xml:space="preserve">  Connections</v>
      </c>
      <c r="D387" s="57">
        <f>+Summary!L32</f>
        <v>157</v>
      </c>
      <c r="E387" s="57">
        <f>+Summary!M32</f>
        <v>157.10035188815147</v>
      </c>
      <c r="F387" s="100">
        <f t="shared" si="121"/>
        <v>0.10035188815146512</v>
      </c>
      <c r="G387" s="101">
        <f t="shared" si="122"/>
        <v>6.3918400096474597E-4</v>
      </c>
      <c r="I387" s="145" t="s">
        <v>101</v>
      </c>
      <c r="J387" s="152">
        <f>D402</f>
        <v>37678912</v>
      </c>
      <c r="K387" s="168">
        <f>E380</f>
        <v>35768954.196158841</v>
      </c>
      <c r="L387" s="166">
        <f t="shared" ref="L387:L391" si="126">K387-J387</f>
        <v>-1909957.8038411587</v>
      </c>
      <c r="M387" s="167">
        <f t="shared" ref="M387:M392" si="127">L387/J387</f>
        <v>-5.0690365046664798E-2</v>
      </c>
    </row>
    <row r="388" spans="2:13" x14ac:dyDescent="0.2">
      <c r="B388" s="149"/>
      <c r="C388" s="139" t="str">
        <f>+Summary!A33</f>
        <v xml:space="preserve">  kWh</v>
      </c>
      <c r="D388" s="57">
        <f>+Summary!L33</f>
        <v>99127.487835130218</v>
      </c>
      <c r="E388" s="57">
        <f>+Summary!M33</f>
        <v>99190.848539410261</v>
      </c>
      <c r="F388" s="100">
        <f t="shared" si="121"/>
        <v>63.360704280043137</v>
      </c>
      <c r="G388" s="101">
        <f t="shared" si="122"/>
        <v>6.391840009647502E-4</v>
      </c>
      <c r="I388" s="145" t="s">
        <v>102</v>
      </c>
      <c r="J388" s="152">
        <f>D404</f>
        <v>121733913</v>
      </c>
      <c r="K388" s="168">
        <f>E382</f>
        <v>135154245.19000375</v>
      </c>
      <c r="L388" s="166">
        <f t="shared" si="126"/>
        <v>13420332.190003753</v>
      </c>
      <c r="M388" s="167">
        <f t="shared" si="127"/>
        <v>0.11024316773587778</v>
      </c>
    </row>
    <row r="389" spans="2:13" x14ac:dyDescent="0.2">
      <c r="B389" s="150"/>
      <c r="C389" s="139" t="str">
        <f>+Summary!A34</f>
        <v xml:space="preserve">  kW</v>
      </c>
      <c r="D389" s="57">
        <f>+Summary!L34</f>
        <v>275.53977957995676</v>
      </c>
      <c r="E389" s="57">
        <f>+Summary!M34</f>
        <v>275.71590019869365</v>
      </c>
      <c r="F389" s="100">
        <f t="shared" ref="F389:F392" si="128">+E389-D389</f>
        <v>0.17612061873688845</v>
      </c>
      <c r="G389" s="101">
        <f t="shared" ref="G389:G392" si="129">+(E389-D389)/D389</f>
        <v>6.3918400096484571E-4</v>
      </c>
      <c r="I389" s="145" t="s">
        <v>236</v>
      </c>
      <c r="J389" s="152">
        <f>D407</f>
        <v>1861618</v>
      </c>
      <c r="K389" s="168">
        <f>E385</f>
        <v>867518.63090335811</v>
      </c>
      <c r="L389" s="166">
        <f t="shared" si="126"/>
        <v>-994099.36909664189</v>
      </c>
      <c r="M389" s="167">
        <f t="shared" si="127"/>
        <v>-0.53399750598492379</v>
      </c>
    </row>
    <row r="390" spans="2:13" x14ac:dyDescent="0.2">
      <c r="B390" s="182" t="s">
        <v>168</v>
      </c>
      <c r="C390" s="183" t="str">
        <f>+Summary!A37</f>
        <v xml:space="preserve">  Connections</v>
      </c>
      <c r="D390" s="184">
        <f>+Summary!L37</f>
        <v>97</v>
      </c>
      <c r="E390" s="184">
        <f>+Summary!M37</f>
        <v>96.349640189523058</v>
      </c>
      <c r="F390" s="185">
        <f t="shared" si="128"/>
        <v>-0.65035981047694236</v>
      </c>
      <c r="G390" s="186">
        <f t="shared" si="129"/>
        <v>-6.7047403141952816E-3</v>
      </c>
      <c r="I390" s="145" t="s">
        <v>237</v>
      </c>
      <c r="J390" s="152">
        <f>D410</f>
        <v>122536</v>
      </c>
      <c r="K390" s="168">
        <f>E388</f>
        <v>99190.848539410261</v>
      </c>
      <c r="L390" s="166">
        <f t="shared" si="126"/>
        <v>-23345.151460589739</v>
      </c>
      <c r="M390" s="167">
        <f t="shared" si="127"/>
        <v>-0.19051667641011408</v>
      </c>
    </row>
    <row r="391" spans="2:13" x14ac:dyDescent="0.2">
      <c r="B391" s="187"/>
      <c r="C391" s="183" t="str">
        <f>+Summary!A38</f>
        <v xml:space="preserve">  kWh</v>
      </c>
      <c r="D391" s="184">
        <f>+Summary!L38</f>
        <v>368617.05636627553</v>
      </c>
      <c r="E391" s="184">
        <f>+Summary!M38</f>
        <v>366145.57472795661</v>
      </c>
      <c r="F391" s="185">
        <f t="shared" si="128"/>
        <v>-2471.4816383189172</v>
      </c>
      <c r="G391" s="186">
        <f t="shared" si="129"/>
        <v>-6.7047403141951602E-3</v>
      </c>
      <c r="I391" s="145" t="s">
        <v>238</v>
      </c>
      <c r="J391" s="152">
        <f>D413</f>
        <v>358304</v>
      </c>
      <c r="K391" s="168">
        <f>E391</f>
        <v>366145.57472795661</v>
      </c>
      <c r="L391" s="166">
        <f t="shared" si="126"/>
        <v>7841.5747279566131</v>
      </c>
      <c r="M391" s="167">
        <f t="shared" si="127"/>
        <v>2.188525589431492E-2</v>
      </c>
    </row>
    <row r="392" spans="2:13" x14ac:dyDescent="0.2">
      <c r="B392" s="148" t="s">
        <v>210</v>
      </c>
      <c r="C392" s="138" t="s">
        <v>211</v>
      </c>
      <c r="D392" s="57">
        <f>+D377+D379+D384+D387+D390+D381</f>
        <v>16119.916666666666</v>
      </c>
      <c r="E392" s="57">
        <f>+E377+E379+E384+E387+E390+E381</f>
        <v>16262.702623938154</v>
      </c>
      <c r="F392" s="100">
        <f t="shared" si="128"/>
        <v>142.78595727148786</v>
      </c>
      <c r="G392" s="101">
        <f t="shared" si="129"/>
        <v>8.8577354476494109E-3</v>
      </c>
      <c r="I392" s="194" t="s">
        <v>11</v>
      </c>
      <c r="J392" s="195">
        <f>SUM(J386:J391)</f>
        <v>252033687</v>
      </c>
      <c r="K392" s="195">
        <f t="shared" ref="K392" si="130">SUM(K386:K391)</f>
        <v>267818285.31859064</v>
      </c>
      <c r="L392" s="195">
        <f t="shared" ref="L392" si="131">SUM(L386:L391)</f>
        <v>15784598.318590637</v>
      </c>
      <c r="M392" s="196">
        <f t="shared" si="127"/>
        <v>6.2628922770116197E-2</v>
      </c>
    </row>
    <row r="393" spans="2:13" x14ac:dyDescent="0.2">
      <c r="B393" s="149"/>
      <c r="C393" s="138" t="s">
        <v>61</v>
      </c>
      <c r="D393" s="57">
        <f>+D378+D380+D382+D385+D388+D391</f>
        <v>261367911.63556185</v>
      </c>
      <c r="E393" s="57">
        <f>+E378+E380+E382+E385+E388+E391</f>
        <v>267818285.31859064</v>
      </c>
      <c r="F393" s="100">
        <f t="shared" ref="F393:F394" si="132">+E393-D393</f>
        <v>6450373.6830287874</v>
      </c>
      <c r="G393" s="101">
        <f t="shared" ref="G393:G394" si="133">+(E393-D393)/D393</f>
        <v>2.4679286920357923E-2</v>
      </c>
      <c r="I393" s="15" t="s">
        <v>62</v>
      </c>
    </row>
    <row r="394" spans="2:13" ht="25.5" x14ac:dyDescent="0.2">
      <c r="B394" s="150"/>
      <c r="C394" s="138" t="str">
        <f>+C389</f>
        <v xml:space="preserve">  kW</v>
      </c>
      <c r="D394" s="57">
        <f>+D383+D386+D389</f>
        <v>315658.47367845953</v>
      </c>
      <c r="E394" s="57">
        <f>+E383+E386+E389</f>
        <v>320346.93063197524</v>
      </c>
      <c r="F394" s="100">
        <f t="shared" si="132"/>
        <v>4688.4569535157061</v>
      </c>
      <c r="G394" s="101">
        <f t="shared" si="133"/>
        <v>1.4852941848447028E-2</v>
      </c>
      <c r="I394" s="95" t="s">
        <v>207</v>
      </c>
      <c r="J394" s="95" t="s">
        <v>185</v>
      </c>
      <c r="K394" s="95" t="s">
        <v>239</v>
      </c>
      <c r="L394" s="95" t="s">
        <v>208</v>
      </c>
      <c r="M394" s="95" t="s">
        <v>14</v>
      </c>
    </row>
    <row r="395" spans="2:13" x14ac:dyDescent="0.2">
      <c r="I395" s="145" t="s">
        <v>100</v>
      </c>
      <c r="J395" s="152"/>
      <c r="K395" s="168"/>
      <c r="L395" s="166"/>
      <c r="M395" s="167"/>
    </row>
    <row r="396" spans="2:13" x14ac:dyDescent="0.2">
      <c r="I396" s="145" t="s">
        <v>101</v>
      </c>
      <c r="J396" s="152"/>
      <c r="K396" s="168"/>
      <c r="L396" s="166"/>
      <c r="M396" s="167"/>
    </row>
    <row r="397" spans="2:13" x14ac:dyDescent="0.2">
      <c r="B397" s="47" t="s">
        <v>206</v>
      </c>
      <c r="I397" s="145" t="s">
        <v>102</v>
      </c>
      <c r="J397" s="152">
        <f>D405</f>
        <v>293725</v>
      </c>
      <c r="K397" s="168">
        <f>E383</f>
        <v>317655.44335731986</v>
      </c>
      <c r="L397" s="166">
        <f>K397-J397</f>
        <v>23930.443357319862</v>
      </c>
      <c r="M397" s="167">
        <f>L397/J397</f>
        <v>8.147227289920797E-2</v>
      </c>
    </row>
    <row r="398" spans="2:13" ht="25.5" x14ac:dyDescent="0.2">
      <c r="B398" s="95" t="s">
        <v>207</v>
      </c>
      <c r="C398" s="95" t="s">
        <v>151</v>
      </c>
      <c r="D398" s="95" t="s">
        <v>185</v>
      </c>
      <c r="E398" s="95" t="s">
        <v>151</v>
      </c>
      <c r="F398" s="95" t="s">
        <v>208</v>
      </c>
      <c r="G398" s="95" t="s">
        <v>14</v>
      </c>
      <c r="I398" s="145" t="s">
        <v>236</v>
      </c>
      <c r="J398" s="152">
        <f>D408</f>
        <v>5230</v>
      </c>
      <c r="K398" s="168">
        <f>E386</f>
        <v>2415.7713744567136</v>
      </c>
      <c r="L398" s="166">
        <f>K398-J398</f>
        <v>-2814.2286255432864</v>
      </c>
      <c r="M398" s="167">
        <f>L398/J398</f>
        <v>-0.53809342744613509</v>
      </c>
    </row>
    <row r="399" spans="2:13" x14ac:dyDescent="0.2">
      <c r="B399" s="145" t="s">
        <v>100</v>
      </c>
      <c r="C399" s="152" t="s">
        <v>212</v>
      </c>
      <c r="D399" s="57">
        <f>+C50</f>
        <v>10325</v>
      </c>
      <c r="E399" s="57">
        <f>+C52</f>
        <v>10344.166666666666</v>
      </c>
      <c r="F399" s="100">
        <f>+E399-D399</f>
        <v>19.16666666666606</v>
      </c>
      <c r="G399" s="101">
        <f>+(E399-D399)/D399</f>
        <v>1.8563357546407806E-3</v>
      </c>
      <c r="I399" s="145" t="s">
        <v>237</v>
      </c>
      <c r="J399" s="152">
        <f>D411</f>
        <v>339</v>
      </c>
      <c r="K399" s="168">
        <f>E389</f>
        <v>275.71590019869365</v>
      </c>
      <c r="L399" s="166">
        <f>K399-J399</f>
        <v>-63.284099801306354</v>
      </c>
      <c r="M399" s="167">
        <f>L399/J399</f>
        <v>-0.18667876047582996</v>
      </c>
    </row>
    <row r="400" spans="2:13" x14ac:dyDescent="0.2">
      <c r="B400" s="139"/>
      <c r="C400" s="138" t="s">
        <v>61</v>
      </c>
      <c r="D400" s="57">
        <f>+C28</f>
        <v>90278404</v>
      </c>
      <c r="E400" s="57">
        <f>+C30</f>
        <v>85816558.384570569</v>
      </c>
      <c r="F400" s="100">
        <f t="shared" ref="F400:F416" si="134">+E400-D400</f>
        <v>-4461845.6154294312</v>
      </c>
      <c r="G400" s="101">
        <f t="shared" ref="G400:G416" si="135">+(E400-D400)/D400</f>
        <v>-4.9423177833642598E-2</v>
      </c>
      <c r="I400" s="145" t="s">
        <v>238</v>
      </c>
      <c r="J400" s="152"/>
      <c r="K400" s="168"/>
      <c r="L400" s="166"/>
      <c r="M400" s="167"/>
    </row>
    <row r="401" spans="2:13" x14ac:dyDescent="0.2">
      <c r="B401" s="146" t="s">
        <v>101</v>
      </c>
      <c r="C401" s="140" t="s">
        <v>212</v>
      </c>
      <c r="D401" s="142">
        <f>+D50</f>
        <v>1141</v>
      </c>
      <c r="E401" s="142">
        <f>+D52</f>
        <v>1138.4166666666667</v>
      </c>
      <c r="F401" s="143">
        <f t="shared" si="134"/>
        <v>-2.5833333333332575</v>
      </c>
      <c r="G401" s="144">
        <f t="shared" si="135"/>
        <v>-2.2640958223779646E-3</v>
      </c>
      <c r="I401" s="194" t="s">
        <v>11</v>
      </c>
      <c r="J401" s="195">
        <f>SUM(J395:J400)</f>
        <v>299294</v>
      </c>
      <c r="K401" s="195">
        <f>SUM(K395:K400)</f>
        <v>320346.93063197524</v>
      </c>
      <c r="L401" s="195">
        <f>SUM(L395:L400)</f>
        <v>21052.930631975272</v>
      </c>
      <c r="M401" s="196">
        <f>L401/J401</f>
        <v>7.0341973551007617E-2</v>
      </c>
    </row>
    <row r="402" spans="2:13" x14ac:dyDescent="0.2">
      <c r="B402" s="147"/>
      <c r="C402" s="140" t="s">
        <v>61</v>
      </c>
      <c r="D402" s="142">
        <f>+D28</f>
        <v>37678912</v>
      </c>
      <c r="E402" s="142">
        <f>+D30</f>
        <v>35415553.049546637</v>
      </c>
      <c r="F402" s="143">
        <f t="shared" si="134"/>
        <v>-2263358.9504533634</v>
      </c>
      <c r="G402" s="144">
        <f t="shared" si="135"/>
        <v>-6.0069647192927525E-2</v>
      </c>
    </row>
    <row r="403" spans="2:13" x14ac:dyDescent="0.2">
      <c r="B403" s="148" t="s">
        <v>102</v>
      </c>
      <c r="C403" s="138" t="s">
        <v>212</v>
      </c>
      <c r="D403" s="57">
        <f>+E50</f>
        <v>124</v>
      </c>
      <c r="E403" s="57">
        <f>+E52</f>
        <v>132.08333333333334</v>
      </c>
      <c r="F403" s="100">
        <f t="shared" si="134"/>
        <v>8.0833333333333428</v>
      </c>
      <c r="G403" s="101">
        <f t="shared" si="135"/>
        <v>6.5188172043010834E-2</v>
      </c>
    </row>
    <row r="404" spans="2:13" x14ac:dyDescent="0.2">
      <c r="B404" s="149"/>
      <c r="C404" s="138" t="s">
        <v>61</v>
      </c>
      <c r="D404" s="57">
        <f>+E28</f>
        <v>121733913</v>
      </c>
      <c r="E404" s="57">
        <f>+E30</f>
        <v>124098101.67349331</v>
      </c>
      <c r="F404" s="100">
        <f t="shared" si="134"/>
        <v>2364188.6734933108</v>
      </c>
      <c r="G404" s="101">
        <f t="shared" si="135"/>
        <v>1.9420953580070253E-2</v>
      </c>
    </row>
    <row r="405" spans="2:13" x14ac:dyDescent="0.2">
      <c r="B405" s="150"/>
      <c r="C405" s="138" t="s">
        <v>62</v>
      </c>
      <c r="D405" s="57">
        <f>+F28</f>
        <v>293725</v>
      </c>
      <c r="E405" s="57">
        <f>+F30</f>
        <v>295326.6614777061</v>
      </c>
      <c r="F405" s="100">
        <f t="shared" si="134"/>
        <v>1601.6614777061041</v>
      </c>
      <c r="G405" s="101">
        <f t="shared" si="135"/>
        <v>5.452928683993886E-3</v>
      </c>
    </row>
    <row r="406" spans="2:13" x14ac:dyDescent="0.2">
      <c r="B406" s="146" t="s">
        <v>209</v>
      </c>
      <c r="C406" s="140" t="s">
        <v>213</v>
      </c>
      <c r="D406" s="142">
        <f>+F50</f>
        <v>2870</v>
      </c>
      <c r="E406" s="142">
        <f>+F52</f>
        <v>2895.75</v>
      </c>
      <c r="F406" s="143">
        <f t="shared" si="134"/>
        <v>25.75</v>
      </c>
      <c r="G406" s="144">
        <f t="shared" si="135"/>
        <v>8.9721254355400702E-3</v>
      </c>
    </row>
    <row r="407" spans="2:13" x14ac:dyDescent="0.2">
      <c r="B407" s="151"/>
      <c r="C407" s="140" t="s">
        <v>61</v>
      </c>
      <c r="D407" s="142">
        <f>+G28</f>
        <v>1861618</v>
      </c>
      <c r="E407" s="142">
        <f>+G30</f>
        <v>1731641.5322965365</v>
      </c>
      <c r="F407" s="143">
        <f t="shared" si="134"/>
        <v>-129976.46770346351</v>
      </c>
      <c r="G407" s="144">
        <f t="shared" si="135"/>
        <v>-6.9819086248340698E-2</v>
      </c>
    </row>
    <row r="408" spans="2:13" x14ac:dyDescent="0.2">
      <c r="B408" s="147"/>
      <c r="C408" s="140" t="s">
        <v>62</v>
      </c>
      <c r="D408" s="142">
        <f>+H28</f>
        <v>5230</v>
      </c>
      <c r="E408" s="142">
        <f>+F30</f>
        <v>295326.6614777061</v>
      </c>
      <c r="F408" s="143">
        <f t="shared" si="134"/>
        <v>290096.6614777061</v>
      </c>
      <c r="G408" s="144">
        <f t="shared" si="135"/>
        <v>55.467812902047058</v>
      </c>
    </row>
    <row r="409" spans="2:13" x14ac:dyDescent="0.2">
      <c r="B409" s="148" t="s">
        <v>68</v>
      </c>
      <c r="C409" s="139" t="str">
        <f>+C406</f>
        <v>Connections</v>
      </c>
      <c r="D409" s="57">
        <f>+G50</f>
        <v>155</v>
      </c>
      <c r="E409" s="57">
        <f>+G52</f>
        <v>152.16666666666666</v>
      </c>
      <c r="F409" s="100">
        <f t="shared" si="134"/>
        <v>-2.8333333333333428</v>
      </c>
      <c r="G409" s="101">
        <f t="shared" si="135"/>
        <v>-1.8279569892473178E-2</v>
      </c>
    </row>
    <row r="410" spans="2:13" x14ac:dyDescent="0.2">
      <c r="B410" s="149"/>
      <c r="C410" s="139" t="str">
        <f t="shared" ref="C410:C411" si="136">+C407</f>
        <v>kWh</v>
      </c>
      <c r="D410" s="57">
        <f>+I28</f>
        <v>122536</v>
      </c>
      <c r="E410" s="57">
        <f>+I30</f>
        <v>105133.19775921054</v>
      </c>
      <c r="F410" s="100">
        <f t="shared" si="134"/>
        <v>-17402.80224078946</v>
      </c>
      <c r="G410" s="101">
        <f t="shared" si="135"/>
        <v>-0.14202195469730905</v>
      </c>
    </row>
    <row r="411" spans="2:13" x14ac:dyDescent="0.2">
      <c r="B411" s="150"/>
      <c r="C411" s="139" t="str">
        <f t="shared" si="136"/>
        <v>kW</v>
      </c>
      <c r="D411" s="57">
        <f>+J28</f>
        <v>339</v>
      </c>
      <c r="E411" s="57">
        <f>+J30</f>
        <v>289.40000000000003</v>
      </c>
      <c r="F411" s="100">
        <f t="shared" si="134"/>
        <v>-49.599999999999966</v>
      </c>
      <c r="G411" s="101">
        <f t="shared" si="135"/>
        <v>-0.1463126843657816</v>
      </c>
    </row>
    <row r="412" spans="2:13" x14ac:dyDescent="0.2">
      <c r="B412" s="146" t="s">
        <v>168</v>
      </c>
      <c r="C412" s="141" t="str">
        <f>+C409</f>
        <v>Connections</v>
      </c>
      <c r="D412" s="142">
        <f>+H50</f>
        <v>104</v>
      </c>
      <c r="E412" s="142">
        <f>+H52</f>
        <v>104</v>
      </c>
      <c r="F412" s="143">
        <f t="shared" si="134"/>
        <v>0</v>
      </c>
      <c r="G412" s="144">
        <f t="shared" si="135"/>
        <v>0</v>
      </c>
    </row>
    <row r="413" spans="2:13" x14ac:dyDescent="0.2">
      <c r="B413" s="147"/>
      <c r="C413" s="141" t="str">
        <f>+C410</f>
        <v>kWh</v>
      </c>
      <c r="D413" s="142">
        <f>+K28</f>
        <v>358304</v>
      </c>
      <c r="E413" s="142">
        <f>+K30</f>
        <v>386243.36172938795</v>
      </c>
      <c r="F413" s="143">
        <f t="shared" si="134"/>
        <v>27939.361729387951</v>
      </c>
      <c r="G413" s="144">
        <f t="shared" si="135"/>
        <v>7.797669501146498E-2</v>
      </c>
    </row>
    <row r="414" spans="2:13" x14ac:dyDescent="0.2">
      <c r="B414" s="148" t="s">
        <v>210</v>
      </c>
      <c r="C414" s="138" t="s">
        <v>211</v>
      </c>
      <c r="D414" s="57">
        <f>+D399+D401+D406+D409+D412+D403</f>
        <v>14719</v>
      </c>
      <c r="E414" s="57">
        <f>+E399+E401+E406+E409+E412+E403</f>
        <v>14766.583333333332</v>
      </c>
      <c r="F414" s="100">
        <f t="shared" si="134"/>
        <v>47.583333333332121</v>
      </c>
      <c r="G414" s="101">
        <f t="shared" si="135"/>
        <v>3.2327830242089898E-3</v>
      </c>
    </row>
    <row r="415" spans="2:13" x14ac:dyDescent="0.2">
      <c r="B415" s="149"/>
      <c r="C415" s="138" t="s">
        <v>61</v>
      </c>
      <c r="D415" s="57">
        <f>+D400+D402+D404+D407+D410+D412</f>
        <v>251675487</v>
      </c>
      <c r="E415" s="57">
        <f>+E400+E402+E404+E407+E410+E412</f>
        <v>247167091.83766627</v>
      </c>
      <c r="F415" s="100">
        <f t="shared" si="134"/>
        <v>-4508395.1623337269</v>
      </c>
      <c r="G415" s="101">
        <f t="shared" si="135"/>
        <v>-1.791352513538089E-2</v>
      </c>
    </row>
    <row r="416" spans="2:13" x14ac:dyDescent="0.2">
      <c r="B416" s="150"/>
      <c r="C416" s="138" t="str">
        <f>+C411</f>
        <v>kW</v>
      </c>
      <c r="D416" s="57">
        <f>+D405+D408+D411</f>
        <v>299294</v>
      </c>
      <c r="E416" s="57">
        <f>+E405+E408+E411</f>
        <v>590942.72295541223</v>
      </c>
      <c r="F416" s="100">
        <f t="shared" si="134"/>
        <v>291648.72295541223</v>
      </c>
      <c r="G416" s="101">
        <f t="shared" si="135"/>
        <v>0.97445562876439962</v>
      </c>
    </row>
    <row r="419" spans="2:17" x14ac:dyDescent="0.2">
      <c r="B419" s="47" t="s">
        <v>226</v>
      </c>
    </row>
    <row r="420" spans="2:17" x14ac:dyDescent="0.2">
      <c r="B420" s="253" t="s">
        <v>207</v>
      </c>
      <c r="C420" s="253" t="s">
        <v>183</v>
      </c>
      <c r="D420" s="253">
        <v>2014</v>
      </c>
      <c r="E420" s="253">
        <v>2015</v>
      </c>
      <c r="F420" s="253">
        <v>2016</v>
      </c>
      <c r="G420" s="253">
        <v>2017</v>
      </c>
      <c r="H420" s="253">
        <v>2018</v>
      </c>
      <c r="I420" s="253">
        <v>2019</v>
      </c>
      <c r="J420" s="253">
        <v>2020</v>
      </c>
      <c r="K420" s="253">
        <v>2021</v>
      </c>
      <c r="L420" s="253">
        <v>2022</v>
      </c>
      <c r="M420" s="253">
        <v>2023</v>
      </c>
      <c r="N420" s="253">
        <v>2024</v>
      </c>
      <c r="Q420" s="47" t="s">
        <v>217</v>
      </c>
    </row>
    <row r="421" spans="2:17" x14ac:dyDescent="0.2">
      <c r="B421" s="253" t="s">
        <v>207</v>
      </c>
      <c r="C421" s="253" t="s">
        <v>214</v>
      </c>
      <c r="D421" s="253" t="s">
        <v>214</v>
      </c>
      <c r="E421" s="253" t="s">
        <v>214</v>
      </c>
      <c r="F421" s="253" t="s">
        <v>214</v>
      </c>
      <c r="G421" s="253" t="s">
        <v>214</v>
      </c>
      <c r="H421" s="253" t="s">
        <v>214</v>
      </c>
      <c r="I421" s="253" t="s">
        <v>214</v>
      </c>
      <c r="J421" s="253" t="s">
        <v>214</v>
      </c>
      <c r="K421" s="253" t="s">
        <v>214</v>
      </c>
      <c r="L421" s="253" t="s">
        <v>214</v>
      </c>
      <c r="M421" s="253" t="s">
        <v>214</v>
      </c>
      <c r="N421" s="253" t="s">
        <v>214</v>
      </c>
      <c r="P421">
        <v>2013</v>
      </c>
      <c r="Q421">
        <f>+'Purchd Power Model Weather norm'!N152</f>
        <v>1.0041490778344446</v>
      </c>
    </row>
    <row r="422" spans="2:17" x14ac:dyDescent="0.2">
      <c r="B422" s="138" t="s">
        <v>100</v>
      </c>
      <c r="C422" s="47" t="s">
        <v>61</v>
      </c>
      <c r="D422" s="154" cm="1">
        <f t="array" ref="D422:L422">TRANSPOSE('Rate Class Energy Model'!H4:H12)</f>
        <v>85816558.384570569</v>
      </c>
      <c r="E422" s="154">
        <v>85926418.71876052</v>
      </c>
      <c r="F422" s="154">
        <v>86214190.382619157</v>
      </c>
      <c r="G422" s="154">
        <v>83878663.289841563</v>
      </c>
      <c r="H422" s="154">
        <v>91709432.73716554</v>
      </c>
      <c r="I422" s="154">
        <v>89180443.270875081</v>
      </c>
      <c r="J422" s="154">
        <v>95587067.984431669</v>
      </c>
      <c r="K422" s="154">
        <v>95087325.556198344</v>
      </c>
      <c r="L422" s="154">
        <v>95371627.720710099</v>
      </c>
      <c r="M422" cm="1">
        <f t="array" ref="M422:N422">TRANSPOSE('Rate Class Energy Model'!H28:H29)</f>
        <v>92837381.172788545</v>
      </c>
      <c r="N422">
        <v>93859343.848021463</v>
      </c>
      <c r="P422">
        <v>2014</v>
      </c>
      <c r="Q422">
        <f>+'Purchd Power Model Weather norm'!N153</f>
        <v>1.0040162114045352</v>
      </c>
    </row>
    <row r="423" spans="2:17" x14ac:dyDescent="0.2">
      <c r="B423" s="47" t="s">
        <v>215</v>
      </c>
      <c r="C423" s="47" t="s">
        <v>61</v>
      </c>
      <c r="D423" s="154" cm="1">
        <f t="array" ref="D423:L423">TRANSPOSE('Rate Class Energy Model'!I4:I12)</f>
        <v>35415553.049546637</v>
      </c>
      <c r="E423" s="154">
        <v>34168176.853738427</v>
      </c>
      <c r="F423" s="154">
        <v>34455638.026827835</v>
      </c>
      <c r="G423" s="154">
        <v>34387085.601475</v>
      </c>
      <c r="H423" s="154">
        <v>35759952.621808477</v>
      </c>
      <c r="I423" s="154">
        <v>34942744.746606827</v>
      </c>
      <c r="J423" s="154">
        <v>33629605.964253612</v>
      </c>
      <c r="K423" s="154">
        <v>33533529.262311421</v>
      </c>
      <c r="L423" s="154">
        <v>35235863.474724725</v>
      </c>
      <c r="M423" cm="1">
        <f t="array" ref="M423:N423">TRANSPOSE('Rate Class Energy Model'!I28:I29)</f>
        <v>35004280.746252216</v>
      </c>
      <c r="N423">
        <v>35131563.381545722</v>
      </c>
      <c r="P423">
        <v>2015</v>
      </c>
      <c r="Q423">
        <f>+'Purchd Power Model Weather norm'!N154</f>
        <v>1.0033311823814905</v>
      </c>
    </row>
    <row r="424" spans="2:17" x14ac:dyDescent="0.2">
      <c r="B424" s="47" t="s">
        <v>119</v>
      </c>
      <c r="C424" s="47" t="s">
        <v>61</v>
      </c>
      <c r="D424" s="154" cm="1">
        <f t="array" ref="D424:N425">TRANSPOSE('Rate Class Load Model'!B3:C13)</f>
        <v>295326.6614777061</v>
      </c>
      <c r="E424" s="154">
        <v>290455.41448504326</v>
      </c>
      <c r="F424" s="154">
        <v>308868.24605865555</v>
      </c>
      <c r="G424" s="154">
        <v>297257.4140142221</v>
      </c>
      <c r="H424" s="154">
        <v>299851.59780658461</v>
      </c>
      <c r="I424" s="154">
        <v>300898.82119152404</v>
      </c>
      <c r="J424" s="154">
        <v>281171.19930808013</v>
      </c>
      <c r="K424" s="154">
        <v>301675.62</v>
      </c>
      <c r="L424" s="154">
        <v>317681.46000000008</v>
      </c>
      <c r="M424" s="154">
        <v>312958.84992735123</v>
      </c>
      <c r="N424" s="154">
        <v>317655.44335731986</v>
      </c>
      <c r="P424">
        <v>2016</v>
      </c>
      <c r="Q424">
        <f>+'Purchd Power Model Weather norm'!N155</f>
        <v>0.9898858701626585</v>
      </c>
    </row>
    <row r="425" spans="2:17" x14ac:dyDescent="0.2">
      <c r="B425" s="47" t="s">
        <v>114</v>
      </c>
      <c r="C425" s="47" t="s">
        <v>61</v>
      </c>
      <c r="D425" s="154">
        <v>4826.93</v>
      </c>
      <c r="E425" s="154">
        <v>4599.0700000000006</v>
      </c>
      <c r="F425" s="154">
        <v>2461.8700000000003</v>
      </c>
      <c r="G425" s="154">
        <v>2404.58</v>
      </c>
      <c r="H425" s="154">
        <v>2423.3099999999995</v>
      </c>
      <c r="I425" s="154">
        <v>2459.6399999999994</v>
      </c>
      <c r="J425" s="154">
        <v>2445.92</v>
      </c>
      <c r="K425" s="154">
        <v>2420.3500000000004</v>
      </c>
      <c r="L425" s="154">
        <v>2434.08</v>
      </c>
      <c r="M425" s="154">
        <v>2424.0839715283414</v>
      </c>
      <c r="N425" s="154">
        <v>2415.7713744567136</v>
      </c>
      <c r="P425">
        <v>2017</v>
      </c>
      <c r="Q425">
        <f>+'Purchd Power Model Weather norm'!N156</f>
        <v>1.0091434633667158</v>
      </c>
    </row>
    <row r="426" spans="2:17" x14ac:dyDescent="0.2">
      <c r="B426" s="47" t="s">
        <v>68</v>
      </c>
      <c r="C426" s="47" t="s">
        <v>61</v>
      </c>
      <c r="D426" s="154" cm="1">
        <f t="array" ref="D426:N426">TRANSPOSE('Rate Class Load Model'!D3:D13)</f>
        <v>289.40000000000003</v>
      </c>
      <c r="E426" s="154">
        <v>286.49</v>
      </c>
      <c r="F426" s="154">
        <v>289.30000000000007</v>
      </c>
      <c r="G426" s="154">
        <v>310.00000000000006</v>
      </c>
      <c r="H426" s="154">
        <v>280.60000000000002</v>
      </c>
      <c r="I426" s="154">
        <v>283.8</v>
      </c>
      <c r="J426" s="154">
        <v>282.2</v>
      </c>
      <c r="K426" s="154">
        <v>282</v>
      </c>
      <c r="L426" s="154">
        <v>278.2</v>
      </c>
      <c r="M426" s="154">
        <v>275.53977957995676</v>
      </c>
      <c r="N426" s="154">
        <v>275.71590019869365</v>
      </c>
      <c r="P426">
        <v>2018</v>
      </c>
      <c r="Q426">
        <f>+'Purchd Power Model Weather norm'!N157</f>
        <v>0.98789516284834566</v>
      </c>
    </row>
    <row r="427" spans="2:17" x14ac:dyDescent="0.2">
      <c r="B427" s="47" t="s">
        <v>168</v>
      </c>
      <c r="C427" s="47" t="s">
        <v>61</v>
      </c>
      <c r="D427" s="154" cm="1">
        <f t="array" ref="D427:L427">TRANSPOSE('Rate Class Energy Model'!M4:M12)</f>
        <v>386243.36172938795</v>
      </c>
      <c r="E427" s="154">
        <v>382513.80184551654</v>
      </c>
      <c r="F427" s="154">
        <v>401383.11638747668</v>
      </c>
      <c r="G427" s="154">
        <v>380609.58741668583</v>
      </c>
      <c r="H427" s="154">
        <v>375339.18519225245</v>
      </c>
      <c r="I427" s="154">
        <v>375339.18519225245</v>
      </c>
      <c r="J427" s="154">
        <v>375339.18519225245</v>
      </c>
      <c r="K427" s="154">
        <v>375339.18519225245</v>
      </c>
      <c r="L427" s="154">
        <v>375339.18519225251</v>
      </c>
      <c r="M427" cm="1">
        <f t="array" ref="M427:N427">TRANSPOSE('Rate Class Energy Model'!M28:M29)</f>
        <v>368617.05636627553</v>
      </c>
      <c r="N427">
        <v>366145.57472795661</v>
      </c>
      <c r="P427">
        <v>2019</v>
      </c>
      <c r="Q427">
        <f>+'Purchd Power Model Weather norm'!N158</f>
        <v>1.0005885809488893</v>
      </c>
    </row>
    <row r="428" spans="2:17" x14ac:dyDescent="0.2">
      <c r="B428" s="47" t="s">
        <v>216</v>
      </c>
      <c r="D428" cm="1">
        <f t="array" ref="D428:N428">TRANSPOSE('Purchd Power Model Weather norm'!N153:N163)</f>
        <v>1.0040162114045352</v>
      </c>
      <c r="E428">
        <v>1.0033311823814905</v>
      </c>
      <c r="F428">
        <v>0.9898858701626585</v>
      </c>
      <c r="G428">
        <v>1.0091434633667158</v>
      </c>
      <c r="H428">
        <v>0.98789516284834566</v>
      </c>
      <c r="I428">
        <v>1.0005885809488893</v>
      </c>
      <c r="J428">
        <v>0.99530160039116189</v>
      </c>
      <c r="K428">
        <v>1.002214003539815</v>
      </c>
      <c r="L428">
        <v>0.99751372994343024</v>
      </c>
      <c r="M428">
        <v>1.0137368287804933</v>
      </c>
      <c r="N428">
        <v>1</v>
      </c>
      <c r="P428">
        <v>2020</v>
      </c>
      <c r="Q428">
        <f>+'Purchd Power Model Weather norm'!N159</f>
        <v>0.99530160039116189</v>
      </c>
    </row>
    <row r="429" spans="2:17" x14ac:dyDescent="0.2">
      <c r="P429">
        <v>2021</v>
      </c>
      <c r="Q429">
        <f>+'Purchd Power Model Weather norm'!N160</f>
        <v>1.002214003539815</v>
      </c>
    </row>
    <row r="430" spans="2:17" x14ac:dyDescent="0.2">
      <c r="P430">
        <v>2022</v>
      </c>
      <c r="Q430">
        <f>+'Purchd Power Model Weather norm'!N161</f>
        <v>0.99751372994343024</v>
      </c>
    </row>
    <row r="431" spans="2:17" x14ac:dyDescent="0.2">
      <c r="P431">
        <v>2023</v>
      </c>
      <c r="Q431">
        <f>+'Purchd Power Model Weather norm'!N162</f>
        <v>1.0137368287804933</v>
      </c>
    </row>
    <row r="432" spans="2:17" x14ac:dyDescent="0.2">
      <c r="P432">
        <v>2024</v>
      </c>
      <c r="Q432">
        <f>+'Purchd Power Model Weather norm'!N163</f>
        <v>1</v>
      </c>
    </row>
    <row r="436" spans="2:16" x14ac:dyDescent="0.2">
      <c r="B436" s="47" t="s">
        <v>218</v>
      </c>
    </row>
    <row r="437" spans="2:16" x14ac:dyDescent="0.2">
      <c r="J437" s="156" t="s">
        <v>223</v>
      </c>
      <c r="K437" s="157">
        <f>+D428</f>
        <v>1.0040162114045352</v>
      </c>
    </row>
    <row r="438" spans="2:16" ht="36" customHeight="1" x14ac:dyDescent="0.2">
      <c r="B438" s="253" t="s">
        <v>207</v>
      </c>
      <c r="C438" s="251" t="s">
        <v>219</v>
      </c>
      <c r="D438" s="252"/>
      <c r="E438" s="253" t="s">
        <v>220</v>
      </c>
      <c r="F438" s="251" t="s">
        <v>221</v>
      </c>
      <c r="G438" s="252"/>
      <c r="H438" s="251" t="s">
        <v>225</v>
      </c>
      <c r="I438" s="252"/>
      <c r="J438" s="251" t="s">
        <v>222</v>
      </c>
      <c r="K438" s="252"/>
      <c r="L438" s="251" t="s">
        <v>224</v>
      </c>
      <c r="M438" s="252"/>
      <c r="N438">
        <v>2014</v>
      </c>
    </row>
    <row r="439" spans="2:16" ht="27" customHeight="1" x14ac:dyDescent="0.2">
      <c r="B439" s="253" t="s">
        <v>207</v>
      </c>
      <c r="C439" s="153" t="s">
        <v>183</v>
      </c>
      <c r="D439" s="153" t="s">
        <v>151</v>
      </c>
      <c r="E439" s="253" t="s">
        <v>214</v>
      </c>
      <c r="F439" s="153" t="s">
        <v>183</v>
      </c>
      <c r="G439" s="153" t="s">
        <v>151</v>
      </c>
      <c r="H439" s="153" t="str">
        <f>+F439</f>
        <v>2014 BA</v>
      </c>
      <c r="I439" s="153" t="str">
        <f>+G439</f>
        <v>2014 Actual</v>
      </c>
      <c r="J439" s="153" t="str">
        <f t="shared" ref="J439:M439" si="137">+H439</f>
        <v>2014 BA</v>
      </c>
      <c r="K439" s="153" t="str">
        <f t="shared" si="137"/>
        <v>2014 Actual</v>
      </c>
      <c r="L439" s="153" t="str">
        <f t="shared" si="137"/>
        <v>2014 BA</v>
      </c>
      <c r="M439" s="153" t="str">
        <f t="shared" si="137"/>
        <v>2014 Actual</v>
      </c>
      <c r="P439">
        <f>145847424/15555</f>
        <v>9376.2406943105107</v>
      </c>
    </row>
    <row r="440" spans="2:16" x14ac:dyDescent="0.2">
      <c r="B440" s="138" t="s">
        <v>100</v>
      </c>
      <c r="C440" s="57" cm="1">
        <f t="array" ref="C440:C445">TRANSPOSE(C50:H50)</f>
        <v>10325</v>
      </c>
      <c r="D440" s="57" cm="1">
        <f t="array" ref="D440:D445">TRANSPOSE(C52:H52)</f>
        <v>10344.166666666666</v>
      </c>
      <c r="E440" s="100" t="s">
        <v>61</v>
      </c>
      <c r="F440" s="100">
        <f>+D400</f>
        <v>90278404</v>
      </c>
      <c r="G440" s="100">
        <f>+D422</f>
        <v>85816558.384570569</v>
      </c>
      <c r="H440" s="100">
        <f>+F440*$K$437</f>
        <v>90640981.155728042</v>
      </c>
      <c r="I440" s="100">
        <f>+G440*K$437</f>
        <v>86161215.825052649</v>
      </c>
      <c r="J440" s="100">
        <f>+F440/C440</f>
        <v>8743.6710895883771</v>
      </c>
      <c r="K440" s="100">
        <f t="shared" ref="K440:K445" si="138">+G440/D440</f>
        <v>8296.1306744126869</v>
      </c>
      <c r="L440" s="100">
        <f>+H440/C440</f>
        <v>8778.7875211358878</v>
      </c>
      <c r="M440" s="100">
        <f>+I440/D440</f>
        <v>8329.449689040779</v>
      </c>
    </row>
    <row r="441" spans="2:16" x14ac:dyDescent="0.2">
      <c r="B441" s="138" t="s">
        <v>215</v>
      </c>
      <c r="C441" s="57">
        <v>1141</v>
      </c>
      <c r="D441" s="57">
        <v>1138.4166666666667</v>
      </c>
      <c r="E441" s="100" t="s">
        <v>61</v>
      </c>
      <c r="F441" s="100">
        <v>37678912</v>
      </c>
      <c r="G441" s="100">
        <f t="shared" ref="G441:G445" si="139">+D423</f>
        <v>35415553.049546637</v>
      </c>
      <c r="H441" s="100">
        <f t="shared" ref="H441:H445" si="140">+F441*$K$437</f>
        <v>37830238.476084881</v>
      </c>
      <c r="I441" s="100">
        <f>+G441*K$437</f>
        <v>35557789.397602148</v>
      </c>
      <c r="J441" s="100">
        <f t="shared" ref="J441:J445" si="141">+F441/C441</f>
        <v>33022.709903593342</v>
      </c>
      <c r="K441" s="100">
        <f t="shared" si="138"/>
        <v>31109.482219058606</v>
      </c>
      <c r="L441" s="100">
        <f t="shared" ref="L441:M445" si="142">+H441/C441</f>
        <v>33155.336087716809</v>
      </c>
      <c r="M441" s="100">
        <f t="shared" si="142"/>
        <v>31234.424476335975</v>
      </c>
    </row>
    <row r="442" spans="2:16" x14ac:dyDescent="0.2">
      <c r="B442" s="138" t="s">
        <v>119</v>
      </c>
      <c r="C442" s="57">
        <v>124</v>
      </c>
      <c r="D442" s="57">
        <v>132.08333333333334</v>
      </c>
      <c r="E442" s="155" t="s">
        <v>62</v>
      </c>
      <c r="F442" s="100">
        <v>293725</v>
      </c>
      <c r="G442" s="100">
        <f t="shared" si="139"/>
        <v>295326.6614777061</v>
      </c>
      <c r="H442" s="100">
        <f>+F442</f>
        <v>293725</v>
      </c>
      <c r="I442" s="100">
        <f t="shared" ref="I442:I443" si="143">+G442</f>
        <v>295326.6614777061</v>
      </c>
      <c r="J442" s="100">
        <f t="shared" si="141"/>
        <v>2368.75</v>
      </c>
      <c r="K442" s="100">
        <f t="shared" si="138"/>
        <v>2235.9116326387843</v>
      </c>
      <c r="L442" s="100">
        <f t="shared" si="142"/>
        <v>2368.75</v>
      </c>
      <c r="M442" s="100">
        <f t="shared" si="142"/>
        <v>2235.9116326387843</v>
      </c>
    </row>
    <row r="443" spans="2:16" x14ac:dyDescent="0.2">
      <c r="B443" s="138" t="s">
        <v>114</v>
      </c>
      <c r="C443" s="57">
        <v>2870</v>
      </c>
      <c r="D443" s="57">
        <v>2895.75</v>
      </c>
      <c r="E443" s="155" t="s">
        <v>62</v>
      </c>
      <c r="F443" s="100">
        <v>5230</v>
      </c>
      <c r="G443" s="100">
        <f t="shared" si="139"/>
        <v>4826.93</v>
      </c>
      <c r="H443" s="100">
        <f t="shared" ref="H443:H444" si="144">+F443</f>
        <v>5230</v>
      </c>
      <c r="I443" s="100">
        <f t="shared" si="143"/>
        <v>4826.93</v>
      </c>
      <c r="J443" s="100">
        <f t="shared" si="141"/>
        <v>1.8222996515679442</v>
      </c>
      <c r="K443" s="100">
        <f t="shared" si="138"/>
        <v>1.6669014935681603</v>
      </c>
      <c r="L443" s="100">
        <f t="shared" si="142"/>
        <v>1.8222996515679442</v>
      </c>
      <c r="M443" s="100">
        <f t="shared" si="142"/>
        <v>1.6669014935681603</v>
      </c>
    </row>
    <row r="444" spans="2:16" x14ac:dyDescent="0.2">
      <c r="B444" s="138" t="s">
        <v>68</v>
      </c>
      <c r="C444" s="57">
        <v>155</v>
      </c>
      <c r="D444" s="57">
        <v>152.16666666666666</v>
      </c>
      <c r="E444" s="155" t="s">
        <v>62</v>
      </c>
      <c r="F444" s="100">
        <v>339</v>
      </c>
      <c r="G444" s="100">
        <f t="shared" si="139"/>
        <v>289.40000000000003</v>
      </c>
      <c r="H444" s="100">
        <f t="shared" si="144"/>
        <v>339</v>
      </c>
      <c r="I444" s="100">
        <f>+G444</f>
        <v>289.40000000000003</v>
      </c>
      <c r="J444" s="100">
        <f t="shared" si="141"/>
        <v>2.1870967741935483</v>
      </c>
      <c r="K444" s="100">
        <f t="shared" si="138"/>
        <v>1.9018619934282588</v>
      </c>
      <c r="L444" s="100">
        <f t="shared" si="142"/>
        <v>2.1870967741935483</v>
      </c>
      <c r="M444" s="100">
        <f t="shared" si="142"/>
        <v>1.9018619934282588</v>
      </c>
    </row>
    <row r="445" spans="2:16" x14ac:dyDescent="0.2">
      <c r="B445" s="138" t="s">
        <v>168</v>
      </c>
      <c r="C445" s="57">
        <v>104</v>
      </c>
      <c r="D445" s="57">
        <v>104</v>
      </c>
      <c r="E445" s="155" t="s">
        <v>61</v>
      </c>
      <c r="F445" s="100">
        <f>+D413</f>
        <v>358304</v>
      </c>
      <c r="G445" s="100">
        <f t="shared" si="139"/>
        <v>386243.36172938795</v>
      </c>
      <c r="H445" s="100">
        <f t="shared" si="140"/>
        <v>359743.0246110906</v>
      </c>
      <c r="I445" s="100">
        <f t="shared" ref="I445" si="145">+G445*K$437</f>
        <v>387794.59672369156</v>
      </c>
      <c r="J445" s="100">
        <f t="shared" si="141"/>
        <v>3445.2307692307691</v>
      </c>
      <c r="K445" s="100">
        <f t="shared" si="138"/>
        <v>3713.878478167192</v>
      </c>
      <c r="L445" s="100">
        <f t="shared" si="142"/>
        <v>3459.0675443374098</v>
      </c>
      <c r="M445" s="100">
        <f t="shared" si="142"/>
        <v>3728.794199266265</v>
      </c>
    </row>
    <row r="446" spans="2:16" x14ac:dyDescent="0.2">
      <c r="B446" s="153" t="s">
        <v>208</v>
      </c>
      <c r="C446" s="153" t="s">
        <v>227</v>
      </c>
      <c r="D446" s="153" t="s">
        <v>228</v>
      </c>
      <c r="E446" s="153"/>
      <c r="F446" s="153" t="s">
        <v>221</v>
      </c>
      <c r="G446" s="153" t="s">
        <v>228</v>
      </c>
      <c r="H446" s="153" t="str">
        <f>+F446</f>
        <v>Volume</v>
      </c>
      <c r="I446" s="153" t="str">
        <f>+G446</f>
        <v>%</v>
      </c>
      <c r="J446" s="153" t="str">
        <f t="shared" ref="J446:M446" si="146">+H446</f>
        <v>Volume</v>
      </c>
      <c r="K446" s="153" t="str">
        <f t="shared" si="146"/>
        <v>%</v>
      </c>
      <c r="L446" s="153" t="str">
        <f t="shared" si="146"/>
        <v>Volume</v>
      </c>
      <c r="M446" s="153" t="str">
        <f t="shared" si="146"/>
        <v>%</v>
      </c>
    </row>
    <row r="447" spans="2:16" x14ac:dyDescent="0.2">
      <c r="B447" s="139" t="str">
        <f>+B440</f>
        <v>Residential</v>
      </c>
      <c r="C447" s="100">
        <f>+D440-C440</f>
        <v>19.16666666666606</v>
      </c>
      <c r="D447" s="101">
        <f>(D440-C440)/C440</f>
        <v>1.8563357546407806E-3</v>
      </c>
      <c r="E447" s="100" t="str">
        <f>+E440</f>
        <v>kWh</v>
      </c>
      <c r="F447" s="100">
        <f t="shared" ref="F447:L452" si="147">+G440-F440</f>
        <v>-4461845.6154294312</v>
      </c>
      <c r="G447" s="101">
        <f t="shared" ref="G447:M452" si="148">(G440-F440)/F440</f>
        <v>-4.9423177833642598E-2</v>
      </c>
      <c r="H447" s="100">
        <f t="shared" ref="H447" si="149">+I440-H440</f>
        <v>-4479765.3306753933</v>
      </c>
      <c r="I447" s="101">
        <f t="shared" ref="I447" si="150">(I440-H440)/H440</f>
        <v>-4.9423177833642584E-2</v>
      </c>
      <c r="J447" s="100">
        <f t="shared" ref="J447" si="151">+K440-J440</f>
        <v>-447.54041517569021</v>
      </c>
      <c r="K447" s="101">
        <f t="shared" ref="K447" si="152">(K440-J440)/J440</f>
        <v>-5.1184497974609763E-2</v>
      </c>
      <c r="L447" s="100">
        <f t="shared" ref="L447" si="153">+M440-L440</f>
        <v>-449.33783209510875</v>
      </c>
      <c r="M447" s="101">
        <f t="shared" ref="M447" si="154">(M440-L440)/L440</f>
        <v>-5.1184497974609701E-2</v>
      </c>
    </row>
    <row r="448" spans="2:16" x14ac:dyDescent="0.2">
      <c r="B448" s="139" t="str">
        <f t="shared" ref="B448:B452" si="155">+B441</f>
        <v>GS&lt;50 kW</v>
      </c>
      <c r="C448" s="100">
        <f t="shared" ref="C448:C452" si="156">+D441-C441</f>
        <v>-2.5833333333332575</v>
      </c>
      <c r="D448" s="101">
        <f t="shared" ref="D448:D452" si="157">(D441-C441)/C441</f>
        <v>-2.2640958223779646E-3</v>
      </c>
      <c r="E448" s="100" t="str">
        <f t="shared" ref="E448:E452" si="158">+E441</f>
        <v>kWh</v>
      </c>
      <c r="F448" s="100">
        <f t="shared" si="147"/>
        <v>-2263358.9504533634</v>
      </c>
      <c r="G448" s="101">
        <f t="shared" si="148"/>
        <v>-6.0069647192927525E-2</v>
      </c>
      <c r="H448" s="100">
        <f t="shared" si="147"/>
        <v>-2272449.0784827322</v>
      </c>
      <c r="I448" s="101">
        <f t="shared" si="148"/>
        <v>-6.006964719292756E-2</v>
      </c>
      <c r="J448" s="100">
        <f t="shared" si="147"/>
        <v>-1913.2276845347369</v>
      </c>
      <c r="K448" s="101">
        <f t="shared" si="148"/>
        <v>-5.7936725669099326E-2</v>
      </c>
      <c r="L448" s="100">
        <f t="shared" si="147"/>
        <v>-1920.9116113808341</v>
      </c>
      <c r="M448" s="101">
        <f t="shared" si="148"/>
        <v>-5.7936725669099215E-2</v>
      </c>
    </row>
    <row r="449" spans="2:14" x14ac:dyDescent="0.2">
      <c r="B449" s="139" t="str">
        <f t="shared" si="155"/>
        <v>GS&gt;50 kW</v>
      </c>
      <c r="C449" s="100">
        <f t="shared" si="156"/>
        <v>8.0833333333333428</v>
      </c>
      <c r="D449" s="101">
        <f t="shared" si="157"/>
        <v>6.5188172043010834E-2</v>
      </c>
      <c r="E449" s="155" t="str">
        <f t="shared" si="158"/>
        <v>kW</v>
      </c>
      <c r="F449" s="100">
        <f t="shared" si="147"/>
        <v>1601.6614777061041</v>
      </c>
      <c r="G449" s="101">
        <f t="shared" si="148"/>
        <v>5.452928683993886E-3</v>
      </c>
      <c r="H449" s="100">
        <f t="shared" si="147"/>
        <v>1601.6614777061041</v>
      </c>
      <c r="I449" s="101">
        <f t="shared" si="148"/>
        <v>5.452928683993886E-3</v>
      </c>
      <c r="J449" s="100">
        <f t="shared" si="147"/>
        <v>-132.83836736121566</v>
      </c>
      <c r="K449" s="101">
        <f t="shared" si="148"/>
        <v>-5.6079521841146451E-2</v>
      </c>
      <c r="L449" s="100">
        <f t="shared" si="147"/>
        <v>-132.83836736121566</v>
      </c>
      <c r="M449" s="101">
        <f t="shared" si="148"/>
        <v>-5.6079521841146451E-2</v>
      </c>
    </row>
    <row r="450" spans="2:14" x14ac:dyDescent="0.2">
      <c r="B450" s="139" t="str">
        <f t="shared" si="155"/>
        <v>Street Lighting</v>
      </c>
      <c r="C450" s="100">
        <f t="shared" si="156"/>
        <v>25.75</v>
      </c>
      <c r="D450" s="101">
        <f t="shared" si="157"/>
        <v>8.9721254355400702E-3</v>
      </c>
      <c r="E450" s="155" t="str">
        <f t="shared" si="158"/>
        <v>kW</v>
      </c>
      <c r="F450" s="100">
        <f t="shared" si="147"/>
        <v>-403.06999999999971</v>
      </c>
      <c r="G450" s="101">
        <f t="shared" si="148"/>
        <v>-7.706883365200759E-2</v>
      </c>
      <c r="H450" s="100">
        <f t="shared" si="147"/>
        <v>-403.06999999999971</v>
      </c>
      <c r="I450" s="101">
        <f t="shared" si="148"/>
        <v>-7.706883365200759E-2</v>
      </c>
      <c r="J450" s="100">
        <f t="shared" si="147"/>
        <v>-0.15539815799978385</v>
      </c>
      <c r="K450" s="101">
        <f t="shared" si="148"/>
        <v>-8.5275853433915805E-2</v>
      </c>
      <c r="L450" s="100">
        <f t="shared" si="147"/>
        <v>-0.15539815799978385</v>
      </c>
      <c r="M450" s="101">
        <f t="shared" si="148"/>
        <v>-8.5275853433915805E-2</v>
      </c>
    </row>
    <row r="451" spans="2:14" x14ac:dyDescent="0.2">
      <c r="B451" s="139" t="str">
        <f t="shared" si="155"/>
        <v>Sentinel Lights</v>
      </c>
      <c r="C451" s="100">
        <f t="shared" si="156"/>
        <v>-2.8333333333333428</v>
      </c>
      <c r="D451" s="101">
        <f t="shared" si="157"/>
        <v>-1.8279569892473178E-2</v>
      </c>
      <c r="E451" s="155" t="str">
        <f t="shared" si="158"/>
        <v>kW</v>
      </c>
      <c r="F451" s="100">
        <f t="shared" si="147"/>
        <v>-49.599999999999966</v>
      </c>
      <c r="G451" s="101">
        <f t="shared" si="148"/>
        <v>-0.1463126843657816</v>
      </c>
      <c r="H451" s="100">
        <f t="shared" si="147"/>
        <v>-49.599999999999966</v>
      </c>
      <c r="I451" s="101">
        <f t="shared" si="148"/>
        <v>-0.1463126843657816</v>
      </c>
      <c r="J451" s="100">
        <f t="shared" si="147"/>
        <v>-0.28523478076528952</v>
      </c>
      <c r="K451" s="101">
        <f t="shared" si="148"/>
        <v>-0.1304170826507961</v>
      </c>
      <c r="L451" s="100">
        <f t="shared" si="147"/>
        <v>-0.28523478076528952</v>
      </c>
      <c r="M451" s="101">
        <f t="shared" si="148"/>
        <v>-0.1304170826507961</v>
      </c>
    </row>
    <row r="452" spans="2:14" x14ac:dyDescent="0.2">
      <c r="B452" s="139" t="str">
        <f t="shared" si="155"/>
        <v>USL</v>
      </c>
      <c r="C452" s="100">
        <f t="shared" si="156"/>
        <v>0</v>
      </c>
      <c r="D452" s="101">
        <f t="shared" si="157"/>
        <v>0</v>
      </c>
      <c r="E452" s="155" t="str">
        <f t="shared" si="158"/>
        <v>kWh</v>
      </c>
      <c r="F452" s="100">
        <f t="shared" si="147"/>
        <v>27939.361729387951</v>
      </c>
      <c r="G452" s="101">
        <f t="shared" si="148"/>
        <v>7.797669501146498E-2</v>
      </c>
      <c r="H452" s="100">
        <f t="shared" si="147"/>
        <v>28051.572112600959</v>
      </c>
      <c r="I452" s="101">
        <f t="shared" si="148"/>
        <v>7.7976695011464994E-2</v>
      </c>
      <c r="J452" s="100">
        <f t="shared" si="147"/>
        <v>268.64770893642299</v>
      </c>
      <c r="K452" s="101">
        <f t="shared" si="148"/>
        <v>7.7976695011465105E-2</v>
      </c>
      <c r="L452" s="100">
        <f t="shared" si="147"/>
        <v>269.72665492885517</v>
      </c>
      <c r="M452" s="101">
        <f t="shared" si="148"/>
        <v>7.7976695011464939E-2</v>
      </c>
    </row>
    <row r="454" spans="2:14" x14ac:dyDescent="0.2">
      <c r="B454" s="47" t="s">
        <v>230</v>
      </c>
    </row>
    <row r="455" spans="2:14" x14ac:dyDescent="0.2">
      <c r="J455" s="156" t="s">
        <v>223</v>
      </c>
      <c r="K455" s="157">
        <f>+Q423</f>
        <v>1.0033311823814905</v>
      </c>
    </row>
    <row r="456" spans="2:14" ht="36" customHeight="1" x14ac:dyDescent="0.2">
      <c r="B456" s="253" t="s">
        <v>207</v>
      </c>
      <c r="C456" s="251" t="s">
        <v>219</v>
      </c>
      <c r="D456" s="252"/>
      <c r="E456" s="253" t="s">
        <v>220</v>
      </c>
      <c r="F456" s="251" t="s">
        <v>221</v>
      </c>
      <c r="G456" s="252"/>
      <c r="H456" s="251" t="s">
        <v>225</v>
      </c>
      <c r="I456" s="252"/>
      <c r="J456" s="251" t="s">
        <v>222</v>
      </c>
      <c r="K456" s="252"/>
      <c r="L456" s="251" t="s">
        <v>224</v>
      </c>
      <c r="M456" s="252"/>
      <c r="N456">
        <v>2015</v>
      </c>
    </row>
    <row r="457" spans="2:14" ht="27" customHeight="1" x14ac:dyDescent="0.2">
      <c r="B457" s="253" t="s">
        <v>207</v>
      </c>
      <c r="C457" s="153" t="s">
        <v>151</v>
      </c>
      <c r="D457" s="153" t="s">
        <v>229</v>
      </c>
      <c r="E457" s="253" t="s">
        <v>214</v>
      </c>
      <c r="F457" s="153" t="str">
        <f>+C457</f>
        <v>2014 Actual</v>
      </c>
      <c r="G457" s="153" t="str">
        <f>+D457</f>
        <v>2015 Actual</v>
      </c>
      <c r="H457" s="153" t="str">
        <f>+F457</f>
        <v>2014 Actual</v>
      </c>
      <c r="I457" s="153" t="str">
        <f>+G457</f>
        <v>2015 Actual</v>
      </c>
      <c r="J457" s="153" t="str">
        <f t="shared" ref="J457" si="159">+H457</f>
        <v>2014 Actual</v>
      </c>
      <c r="K457" s="153" t="str">
        <f t="shared" ref="K457" si="160">+I457</f>
        <v>2015 Actual</v>
      </c>
      <c r="L457" s="153" t="str">
        <f t="shared" ref="L457" si="161">+J457</f>
        <v>2014 Actual</v>
      </c>
      <c r="M457" s="153" t="str">
        <f t="shared" ref="M457" si="162">+K457</f>
        <v>2015 Actual</v>
      </c>
    </row>
    <row r="458" spans="2:14" x14ac:dyDescent="0.2">
      <c r="B458" s="138" t="s">
        <v>100</v>
      </c>
      <c r="C458" s="57">
        <f>+D440</f>
        <v>10344.166666666666</v>
      </c>
      <c r="D458" s="57" cm="1">
        <f t="array" ref="D458:D463">TRANSPOSE(C53:H53)</f>
        <v>10502.083333333334</v>
      </c>
      <c r="E458" s="100" t="s">
        <v>61</v>
      </c>
      <c r="F458" s="100">
        <f>+D422</f>
        <v>85816558.384570569</v>
      </c>
      <c r="G458" s="100">
        <f>+E422</f>
        <v>85926418.71876052</v>
      </c>
      <c r="H458" s="100">
        <f>+I440</f>
        <v>86161215.825052649</v>
      </c>
      <c r="I458" s="100">
        <f>+G458*K$455</f>
        <v>86212655.290901035</v>
      </c>
      <c r="J458" s="100">
        <f>+F458/C458</f>
        <v>8296.1306744126869</v>
      </c>
      <c r="K458" s="100">
        <f t="shared" ref="K458:K463" si="163">+G458/D458</f>
        <v>8181.8450674479363</v>
      </c>
      <c r="L458" s="100">
        <f>+H458/C458</f>
        <v>8329.449689040779</v>
      </c>
      <c r="M458" s="100">
        <f>+I458/D458</f>
        <v>8209.1002855847037</v>
      </c>
    </row>
    <row r="459" spans="2:14" x14ac:dyDescent="0.2">
      <c r="B459" s="138" t="s">
        <v>215</v>
      </c>
      <c r="C459" s="57">
        <f t="shared" ref="C459:C463" si="164">+D441</f>
        <v>1138.4166666666667</v>
      </c>
      <c r="D459" s="57">
        <v>1133.75</v>
      </c>
      <c r="E459" s="100" t="s">
        <v>61</v>
      </c>
      <c r="F459" s="100">
        <f t="shared" ref="F459:G459" si="165">+D423</f>
        <v>35415553.049546637</v>
      </c>
      <c r="G459" s="100">
        <f t="shared" si="165"/>
        <v>34168176.853738427</v>
      </c>
      <c r="H459" s="100">
        <f t="shared" ref="H459:H463" si="166">+I441</f>
        <v>35557789.397602148</v>
      </c>
      <c r="I459" s="100">
        <f>+G459*K$455</f>
        <v>34281997.282481253</v>
      </c>
      <c r="J459" s="100">
        <f t="shared" ref="J459:J463" si="167">+F459/C459</f>
        <v>31109.482219058606</v>
      </c>
      <c r="K459" s="100">
        <f t="shared" si="163"/>
        <v>30137.31144761934</v>
      </c>
      <c r="L459" s="100">
        <f t="shared" ref="L459:L463" si="168">+H459/C459</f>
        <v>31234.424476335975</v>
      </c>
      <c r="M459" s="100">
        <f t="shared" ref="M459:M463" si="169">+I459/D459</f>
        <v>30237.704328539141</v>
      </c>
    </row>
    <row r="460" spans="2:14" x14ac:dyDescent="0.2">
      <c r="B460" s="138" t="s">
        <v>119</v>
      </c>
      <c r="C460" s="57">
        <f t="shared" si="164"/>
        <v>132.08333333333334</v>
      </c>
      <c r="D460" s="57">
        <v>138.75</v>
      </c>
      <c r="E460" s="155" t="s">
        <v>62</v>
      </c>
      <c r="F460" s="100">
        <f t="shared" ref="F460:G460" si="170">+D424</f>
        <v>295326.6614777061</v>
      </c>
      <c r="G460" s="100">
        <f t="shared" si="170"/>
        <v>290455.41448504326</v>
      </c>
      <c r="H460" s="100">
        <f t="shared" si="166"/>
        <v>295326.6614777061</v>
      </c>
      <c r="I460" s="100">
        <f t="shared" ref="I460:I461" si="171">+G460</f>
        <v>290455.41448504326</v>
      </c>
      <c r="J460" s="100">
        <f t="shared" si="167"/>
        <v>2235.9116326387843</v>
      </c>
      <c r="K460" s="100">
        <f t="shared" si="163"/>
        <v>2093.3723566489602</v>
      </c>
      <c r="L460" s="100">
        <f t="shared" si="168"/>
        <v>2235.9116326387843</v>
      </c>
      <c r="M460" s="100">
        <f t="shared" si="169"/>
        <v>2093.3723566489602</v>
      </c>
    </row>
    <row r="461" spans="2:14" ht="12.75" customHeight="1" x14ac:dyDescent="0.2">
      <c r="B461" s="138" t="s">
        <v>114</v>
      </c>
      <c r="C461" s="57">
        <f t="shared" si="164"/>
        <v>2895.75</v>
      </c>
      <c r="D461" s="57">
        <v>2916.25</v>
      </c>
      <c r="E461" s="155" t="s">
        <v>62</v>
      </c>
      <c r="F461" s="100">
        <f t="shared" ref="F461:G461" si="172">+D425</f>
        <v>4826.93</v>
      </c>
      <c r="G461" s="100">
        <f t="shared" si="172"/>
        <v>4599.0700000000006</v>
      </c>
      <c r="H461" s="100">
        <f t="shared" si="166"/>
        <v>4826.93</v>
      </c>
      <c r="I461" s="100">
        <f t="shared" si="171"/>
        <v>4599.0700000000006</v>
      </c>
      <c r="J461" s="100">
        <f t="shared" si="167"/>
        <v>1.6669014935681603</v>
      </c>
      <c r="K461" s="100">
        <f t="shared" si="163"/>
        <v>1.5770492927561082</v>
      </c>
      <c r="L461" s="100">
        <f t="shared" si="168"/>
        <v>1.6669014935681603</v>
      </c>
      <c r="M461" s="100">
        <f t="shared" si="169"/>
        <v>1.5770492927561082</v>
      </c>
    </row>
    <row r="462" spans="2:14" x14ac:dyDescent="0.2">
      <c r="B462" s="138" t="s">
        <v>68</v>
      </c>
      <c r="C462" s="57">
        <f t="shared" si="164"/>
        <v>152.16666666666666</v>
      </c>
      <c r="D462" s="57">
        <v>150.83333333333334</v>
      </c>
      <c r="E462" s="155" t="s">
        <v>62</v>
      </c>
      <c r="F462" s="100">
        <f t="shared" ref="F462:G462" si="173">+D426</f>
        <v>289.40000000000003</v>
      </c>
      <c r="G462" s="100">
        <f t="shared" si="173"/>
        <v>286.49</v>
      </c>
      <c r="H462" s="100">
        <f t="shared" si="166"/>
        <v>289.40000000000003</v>
      </c>
      <c r="I462" s="100">
        <f>+G462</f>
        <v>286.49</v>
      </c>
      <c r="J462" s="100">
        <f t="shared" si="167"/>
        <v>1.9018619934282588</v>
      </c>
      <c r="K462" s="100">
        <f t="shared" si="163"/>
        <v>1.8993812154696132</v>
      </c>
      <c r="L462" s="100">
        <f t="shared" si="168"/>
        <v>1.9018619934282588</v>
      </c>
      <c r="M462" s="100">
        <f t="shared" si="169"/>
        <v>1.8993812154696132</v>
      </c>
    </row>
    <row r="463" spans="2:14" x14ac:dyDescent="0.2">
      <c r="B463" s="138" t="s">
        <v>168</v>
      </c>
      <c r="C463" s="57">
        <f t="shared" si="164"/>
        <v>104</v>
      </c>
      <c r="D463" s="57">
        <v>96.5</v>
      </c>
      <c r="E463" s="155" t="s">
        <v>61</v>
      </c>
      <c r="F463" s="100">
        <f t="shared" ref="F463:G463" si="174">+D427</f>
        <v>386243.36172938795</v>
      </c>
      <c r="G463" s="100">
        <f t="shared" si="174"/>
        <v>382513.80184551654</v>
      </c>
      <c r="H463" s="100">
        <f t="shared" si="166"/>
        <v>387794.59672369156</v>
      </c>
      <c r="I463" s="100">
        <f>+G463*K$455</f>
        <v>383788.02508290129</v>
      </c>
      <c r="J463" s="100">
        <f t="shared" si="167"/>
        <v>3713.878478167192</v>
      </c>
      <c r="K463" s="100">
        <f t="shared" si="163"/>
        <v>3963.8735942540575</v>
      </c>
      <c r="L463" s="100">
        <f t="shared" si="168"/>
        <v>3728.794199266265</v>
      </c>
      <c r="M463" s="100">
        <f t="shared" si="169"/>
        <v>3977.0779801336921</v>
      </c>
    </row>
    <row r="464" spans="2:14" x14ac:dyDescent="0.2">
      <c r="B464" s="153" t="s">
        <v>208</v>
      </c>
      <c r="C464" s="153" t="s">
        <v>227</v>
      </c>
      <c r="D464" s="153" t="s">
        <v>228</v>
      </c>
      <c r="E464" s="153"/>
      <c r="F464" s="153" t="s">
        <v>221</v>
      </c>
      <c r="G464" s="153" t="s">
        <v>228</v>
      </c>
      <c r="H464" s="153" t="str">
        <f>+F464</f>
        <v>Volume</v>
      </c>
      <c r="I464" s="153" t="str">
        <f>+G464</f>
        <v>%</v>
      </c>
      <c r="J464" s="153" t="str">
        <f t="shared" ref="J464" si="175">+H464</f>
        <v>Volume</v>
      </c>
      <c r="K464" s="153" t="str">
        <f t="shared" ref="K464" si="176">+I464</f>
        <v>%</v>
      </c>
      <c r="L464" s="153" t="str">
        <f t="shared" ref="L464" si="177">+J464</f>
        <v>Volume</v>
      </c>
      <c r="M464" s="153" t="str">
        <f t="shared" ref="M464" si="178">+K464</f>
        <v>%</v>
      </c>
    </row>
    <row r="465" spans="2:13" x14ac:dyDescent="0.2">
      <c r="B465" s="139" t="str">
        <f>+B458</f>
        <v>Residential</v>
      </c>
      <c r="C465" s="100">
        <f>+D458-C458</f>
        <v>157.91666666666788</v>
      </c>
      <c r="D465" s="101">
        <f>(D458-C458)/C458</f>
        <v>1.5266253121727339E-2</v>
      </c>
      <c r="E465" s="100" t="str">
        <f>+E458</f>
        <v>kWh</v>
      </c>
      <c r="F465" s="100">
        <f t="shared" ref="F465" si="179">+G458-F458</f>
        <v>109860.33418995142</v>
      </c>
      <c r="G465" s="101">
        <f t="shared" ref="G465" si="180">(G458-F458)/F458</f>
        <v>1.2801764165096582E-3</v>
      </c>
      <c r="H465" s="100">
        <f t="shared" ref="H465" si="181">+I458-H458</f>
        <v>51439.465848386288</v>
      </c>
      <c r="I465" s="101">
        <f t="shared" ref="I465" si="182">(I458-H458)/H458</f>
        <v>5.9701415951270154E-4</v>
      </c>
      <c r="J465" s="100">
        <f t="shared" ref="J465" si="183">+K458-J458</f>
        <v>-114.28560696475051</v>
      </c>
      <c r="K465" s="101">
        <f t="shared" ref="K465" si="184">(K458-J458)/J458</f>
        <v>-1.3775772278664259E-2</v>
      </c>
      <c r="L465" s="100">
        <f t="shared" ref="L465" si="185">+M458-L458</f>
        <v>-120.34940345607538</v>
      </c>
      <c r="M465" s="101">
        <f t="shared" ref="M465" si="186">(M458-L458)/L458</f>
        <v>-1.4448662030388569E-2</v>
      </c>
    </row>
    <row r="466" spans="2:13" x14ac:dyDescent="0.2">
      <c r="B466" s="139" t="str">
        <f t="shared" ref="B466:B470" si="187">+B459</f>
        <v>GS&lt;50 kW</v>
      </c>
      <c r="C466" s="100">
        <f t="shared" ref="C466:C470" si="188">+D459-C459</f>
        <v>-4.6666666666667425</v>
      </c>
      <c r="D466" s="101">
        <f t="shared" ref="D466:D470" si="189">(D459-C459)/C459</f>
        <v>-4.0992606690579683E-3</v>
      </c>
      <c r="E466" s="100" t="str">
        <f t="shared" ref="E466:E470" si="190">+E459</f>
        <v>kWh</v>
      </c>
      <c r="F466" s="100">
        <f t="shared" ref="F466" si="191">+G459-F459</f>
        <v>-1247376.1958082095</v>
      </c>
      <c r="G466" s="101">
        <f t="shared" ref="G466" si="192">(G459-F459)/F459</f>
        <v>-3.5221141233150316E-2</v>
      </c>
      <c r="H466" s="100">
        <f t="shared" ref="H466" si="193">+I459-H459</f>
        <v>-1275792.1151208952</v>
      </c>
      <c r="I466" s="101">
        <f t="shared" ref="I466" si="194">(I459-H459)/H459</f>
        <v>-3.58793990496757E-2</v>
      </c>
      <c r="J466" s="100">
        <f t="shared" ref="J466" si="195">+K459-J459</f>
        <v>-972.17077143926508</v>
      </c>
      <c r="K466" s="101">
        <f t="shared" ref="K466" si="196">(K459-J459)/J459</f>
        <v>-3.124998238780342E-2</v>
      </c>
      <c r="L466" s="100">
        <f t="shared" ref="L466" si="197">+M459-L459</f>
        <v>-996.72014779683377</v>
      </c>
      <c r="M466" s="101">
        <f t="shared" ref="M466" si="198">(M459-L459)/L459</f>
        <v>-3.1910949681559692E-2</v>
      </c>
    </row>
    <row r="467" spans="2:13" x14ac:dyDescent="0.2">
      <c r="B467" s="139" t="str">
        <f t="shared" si="187"/>
        <v>GS&gt;50 kW</v>
      </c>
      <c r="C467" s="100">
        <f t="shared" si="188"/>
        <v>6.6666666666666572</v>
      </c>
      <c r="D467" s="101">
        <f t="shared" si="189"/>
        <v>5.0473186119873739E-2</v>
      </c>
      <c r="E467" s="155" t="str">
        <f t="shared" si="190"/>
        <v>kW</v>
      </c>
      <c r="F467" s="100">
        <f t="shared" ref="F467" si="199">+G460-F460</f>
        <v>-4871.2469926628401</v>
      </c>
      <c r="G467" s="101">
        <f t="shared" ref="G467" si="200">(G460-F460)/F460</f>
        <v>-1.6494436933966308E-2</v>
      </c>
      <c r="H467" s="100">
        <f t="shared" ref="H467" si="201">+I460-H460</f>
        <v>-4871.2469926628401</v>
      </c>
      <c r="I467" s="101">
        <f t="shared" ref="I467" si="202">(I460-H460)/H460</f>
        <v>-1.6494436933966308E-2</v>
      </c>
      <c r="J467" s="100">
        <f t="shared" ref="J467" si="203">+K460-J460</f>
        <v>-142.53927598982409</v>
      </c>
      <c r="K467" s="101">
        <f t="shared" ref="K467" si="204">(K460-J460)/J460</f>
        <v>-6.3749959483685725E-2</v>
      </c>
      <c r="L467" s="100">
        <f t="shared" ref="L467" si="205">+M460-L460</f>
        <v>-142.53927598982409</v>
      </c>
      <c r="M467" s="101">
        <f t="shared" ref="M467" si="206">(M460-L460)/L460</f>
        <v>-6.3749959483685725E-2</v>
      </c>
    </row>
    <row r="468" spans="2:13" x14ac:dyDescent="0.2">
      <c r="B468" s="139" t="str">
        <f t="shared" si="187"/>
        <v>Street Lighting</v>
      </c>
      <c r="C468" s="100">
        <f t="shared" si="188"/>
        <v>20.5</v>
      </c>
      <c r="D468" s="101">
        <f t="shared" si="189"/>
        <v>7.0793404126737458E-3</v>
      </c>
      <c r="E468" s="155" t="str">
        <f t="shared" si="190"/>
        <v>kW</v>
      </c>
      <c r="F468" s="100">
        <f t="shared" ref="F468" si="207">+G461-F461</f>
        <v>-227.85999999999967</v>
      </c>
      <c r="G468" s="101">
        <f t="shared" ref="G468" si="208">(G461-F461)/F461</f>
        <v>-4.7205988071092733E-2</v>
      </c>
      <c r="H468" s="100">
        <f t="shared" ref="H468" si="209">+I461-H461</f>
        <v>-227.85999999999967</v>
      </c>
      <c r="I468" s="101">
        <f t="shared" ref="I468" si="210">(I461-H461)/H461</f>
        <v>-4.7205988071092733E-2</v>
      </c>
      <c r="J468" s="100">
        <f t="shared" ref="J468" si="211">+K461-J461</f>
        <v>-8.9852200812052141E-2</v>
      </c>
      <c r="K468" s="101">
        <f t="shared" ref="K468" si="212">(K461-J461)/J461</f>
        <v>-5.3903725660305823E-2</v>
      </c>
      <c r="L468" s="100">
        <f t="shared" ref="L468" si="213">+M461-L461</f>
        <v>-8.9852200812052141E-2</v>
      </c>
      <c r="M468" s="101">
        <f t="shared" ref="M468" si="214">(M461-L461)/L461</f>
        <v>-5.3903725660305823E-2</v>
      </c>
    </row>
    <row r="469" spans="2:13" x14ac:dyDescent="0.2">
      <c r="B469" s="139" t="str">
        <f t="shared" si="187"/>
        <v>Sentinel Lights</v>
      </c>
      <c r="C469" s="100">
        <f t="shared" si="188"/>
        <v>-1.3333333333333144</v>
      </c>
      <c r="D469" s="101">
        <f t="shared" si="189"/>
        <v>-8.7623220153339402E-3</v>
      </c>
      <c r="E469" s="155" t="str">
        <f t="shared" si="190"/>
        <v>kW</v>
      </c>
      <c r="F469" s="100">
        <f t="shared" ref="F469" si="215">+G462-F462</f>
        <v>-2.910000000000025</v>
      </c>
      <c r="G469" s="101">
        <f t="shared" ref="G469" si="216">(G462-F462)/F462</f>
        <v>-1.0055286800276519E-2</v>
      </c>
      <c r="H469" s="100">
        <f t="shared" ref="H469" si="217">+I462-H462</f>
        <v>-2.910000000000025</v>
      </c>
      <c r="I469" s="101">
        <f t="shared" ref="I469" si="218">(I462-H462)/H462</f>
        <v>-1.0055286800276519E-2</v>
      </c>
      <c r="J469" s="100">
        <f t="shared" ref="J469" si="219">+K462-J462</f>
        <v>-2.4807779586455414E-3</v>
      </c>
      <c r="K469" s="101">
        <f t="shared" ref="K469" si="220">(K462-J462)/J462</f>
        <v>-1.3043943079033512E-3</v>
      </c>
      <c r="L469" s="100">
        <f t="shared" ref="L469" si="221">+M462-L462</f>
        <v>-2.4807779586455414E-3</v>
      </c>
      <c r="M469" s="101">
        <f t="shared" ref="M469" si="222">(M462-L462)/L462</f>
        <v>-1.3043943079033512E-3</v>
      </c>
    </row>
    <row r="470" spans="2:13" x14ac:dyDescent="0.2">
      <c r="B470" s="139" t="str">
        <f t="shared" si="187"/>
        <v>USL</v>
      </c>
      <c r="C470" s="100">
        <f t="shared" si="188"/>
        <v>-7.5</v>
      </c>
      <c r="D470" s="101">
        <f t="shared" si="189"/>
        <v>-7.2115384615384609E-2</v>
      </c>
      <c r="E470" s="155" t="str">
        <f t="shared" si="190"/>
        <v>kWh</v>
      </c>
      <c r="F470" s="100">
        <f t="shared" ref="F470" si="223">+G463-F463</f>
        <v>-3729.5598838714068</v>
      </c>
      <c r="G470" s="101">
        <f t="shared" ref="G470" si="224">(G463-F463)/F463</f>
        <v>-9.655984421770937E-3</v>
      </c>
      <c r="H470" s="100">
        <f t="shared" ref="H470" si="225">+I463-H463</f>
        <v>-4006.5716407902655</v>
      </c>
      <c r="I470" s="101">
        <f t="shared" ref="I470" si="226">(I463-H463)/H463</f>
        <v>-1.0331685058636847E-2</v>
      </c>
      <c r="J470" s="100">
        <f t="shared" ref="J470" si="227">+K463-J463</f>
        <v>249.99511608686544</v>
      </c>
      <c r="K470" s="101">
        <f t="shared" ref="K470" si="228">(K463-J463)/J463</f>
        <v>6.7313757721614687E-2</v>
      </c>
      <c r="L470" s="100">
        <f t="shared" ref="L470" si="229">+M463-L463</f>
        <v>248.28378086742714</v>
      </c>
      <c r="M470" s="101">
        <f t="shared" ref="M470" si="230">(M463-L463)/L463</f>
        <v>6.6585541491210029E-2</v>
      </c>
    </row>
    <row r="472" spans="2:13" x14ac:dyDescent="0.2">
      <c r="B472" s="47" t="str">
        <f>C475&amp;" vs "&amp;D475</f>
        <v>2015 Actual vs 2016 Actual</v>
      </c>
    </row>
    <row r="473" spans="2:13" x14ac:dyDescent="0.2">
      <c r="J473" s="156" t="s">
        <v>223</v>
      </c>
      <c r="K473" s="157">
        <f>+Q424</f>
        <v>0.9898858701626585</v>
      </c>
    </row>
    <row r="474" spans="2:13" x14ac:dyDescent="0.2">
      <c r="B474" s="253" t="s">
        <v>207</v>
      </c>
      <c r="C474" s="251" t="s">
        <v>219</v>
      </c>
      <c r="D474" s="252"/>
      <c r="E474" s="253" t="s">
        <v>220</v>
      </c>
      <c r="F474" s="251" t="s">
        <v>221</v>
      </c>
      <c r="G474" s="252"/>
      <c r="H474" s="251" t="s">
        <v>225</v>
      </c>
      <c r="I474" s="252"/>
      <c r="J474" s="251" t="s">
        <v>222</v>
      </c>
      <c r="K474" s="252"/>
      <c r="L474" s="251" t="s">
        <v>224</v>
      </c>
      <c r="M474" s="252"/>
    </row>
    <row r="475" spans="2:13" x14ac:dyDescent="0.2">
      <c r="B475" s="253" t="s">
        <v>207</v>
      </c>
      <c r="C475" s="153" t="s">
        <v>229</v>
      </c>
      <c r="D475" s="153" t="s">
        <v>231</v>
      </c>
      <c r="E475" s="253" t="s">
        <v>214</v>
      </c>
      <c r="F475" s="153" t="str">
        <f>+C475</f>
        <v>2015 Actual</v>
      </c>
      <c r="G475" s="153" t="str">
        <f>+D475</f>
        <v>2016 Actual</v>
      </c>
      <c r="H475" s="153" t="str">
        <f>+F475</f>
        <v>2015 Actual</v>
      </c>
      <c r="I475" s="153" t="str">
        <f>+G475</f>
        <v>2016 Actual</v>
      </c>
      <c r="J475" s="153" t="str">
        <f t="shared" ref="J475" si="231">+H475</f>
        <v>2015 Actual</v>
      </c>
      <c r="K475" s="153" t="str">
        <f t="shared" ref="K475" si="232">+I475</f>
        <v>2016 Actual</v>
      </c>
      <c r="L475" s="153" t="str">
        <f t="shared" ref="L475" si="233">+J475</f>
        <v>2015 Actual</v>
      </c>
      <c r="M475" s="153" t="str">
        <f t="shared" ref="M475" si="234">+K475</f>
        <v>2016 Actual</v>
      </c>
    </row>
    <row r="476" spans="2:13" x14ac:dyDescent="0.2">
      <c r="B476" s="138" t="s">
        <v>100</v>
      </c>
      <c r="C476" s="57">
        <f>+D458</f>
        <v>10502.083333333334</v>
      </c>
      <c r="D476" s="57" cm="1">
        <f t="array" ref="D476:D481">TRANSPOSE(C54:H54)</f>
        <v>10634.083333333334</v>
      </c>
      <c r="E476" s="100" t="s">
        <v>61</v>
      </c>
      <c r="F476" s="100">
        <f>+G458</f>
        <v>85926418.71876052</v>
      </c>
      <c r="G476" s="100">
        <f>+F422</f>
        <v>86214190.382619157</v>
      </c>
      <c r="H476" s="100">
        <f>+I458</f>
        <v>86212655.290901035</v>
      </c>
      <c r="I476" s="100">
        <f>+G476*K$473</f>
        <v>85342208.867268071</v>
      </c>
      <c r="J476" s="100">
        <f>+F476/C476</f>
        <v>8181.8450674479363</v>
      </c>
      <c r="K476" s="100">
        <f t="shared" ref="K476:K481" si="235">+G476/D476</f>
        <v>8107.3457561099121</v>
      </c>
      <c r="L476" s="100">
        <f>+H476/C476</f>
        <v>8209.1002855847037</v>
      </c>
      <c r="M476" s="100">
        <f>+I476/D476</f>
        <v>8025.3470084963974</v>
      </c>
    </row>
    <row r="477" spans="2:13" x14ac:dyDescent="0.2">
      <c r="B477" s="138" t="s">
        <v>215</v>
      </c>
      <c r="C477" s="57">
        <f t="shared" ref="C477:C481" si="236">+D459</f>
        <v>1133.75</v>
      </c>
      <c r="D477" s="57">
        <v>1133.0833333333333</v>
      </c>
      <c r="E477" s="100" t="s">
        <v>61</v>
      </c>
      <c r="F477" s="100">
        <f t="shared" ref="F477:F481" si="237">+G459</f>
        <v>34168176.853738427</v>
      </c>
      <c r="G477" s="100">
        <f t="shared" ref="G477:G481" si="238">+F423</f>
        <v>34455638.026827835</v>
      </c>
      <c r="H477" s="100">
        <f t="shared" ref="H477:H481" si="239">+I459</f>
        <v>34281997.282481253</v>
      </c>
      <c r="I477" s="100">
        <f>+G477*K$473</f>
        <v>34107149.230196059</v>
      </c>
      <c r="J477" s="100">
        <f t="shared" ref="J477:J481" si="240">+F477/C477</f>
        <v>30137.31144761934</v>
      </c>
      <c r="K477" s="100">
        <f t="shared" si="235"/>
        <v>30408.741363678313</v>
      </c>
      <c r="L477" s="100">
        <f t="shared" ref="L477:L481" si="241">+H477/C477</f>
        <v>30237.704328539141</v>
      </c>
      <c r="M477" s="100">
        <f t="shared" ref="M477:M481" si="242">+I477/D477</f>
        <v>30101.183405335938</v>
      </c>
    </row>
    <row r="478" spans="2:13" x14ac:dyDescent="0.2">
      <c r="B478" s="138" t="s">
        <v>119</v>
      </c>
      <c r="C478" s="57">
        <f t="shared" si="236"/>
        <v>138.75</v>
      </c>
      <c r="D478" s="57">
        <v>139.91666666666666</v>
      </c>
      <c r="E478" s="155" t="s">
        <v>62</v>
      </c>
      <c r="F478" s="100">
        <f t="shared" si="237"/>
        <v>290455.41448504326</v>
      </c>
      <c r="G478" s="100">
        <f t="shared" si="238"/>
        <v>308868.24605865555</v>
      </c>
      <c r="H478" s="100">
        <f t="shared" si="239"/>
        <v>290455.41448504326</v>
      </c>
      <c r="I478" s="100">
        <f t="shared" ref="I478:I479" si="243">+G478</f>
        <v>308868.24605865555</v>
      </c>
      <c r="J478" s="100">
        <f t="shared" si="240"/>
        <v>2093.3723566489602</v>
      </c>
      <c r="K478" s="100">
        <f t="shared" si="235"/>
        <v>2207.5157550350605</v>
      </c>
      <c r="L478" s="100">
        <f t="shared" si="241"/>
        <v>2093.3723566489602</v>
      </c>
      <c r="M478" s="100">
        <f t="shared" si="242"/>
        <v>2207.5157550350605</v>
      </c>
    </row>
    <row r="479" spans="2:13" x14ac:dyDescent="0.2">
      <c r="B479" s="138" t="s">
        <v>114</v>
      </c>
      <c r="C479" s="57">
        <f t="shared" si="236"/>
        <v>2916.25</v>
      </c>
      <c r="D479" s="57">
        <v>2852.25</v>
      </c>
      <c r="E479" s="155" t="s">
        <v>62</v>
      </c>
      <c r="F479" s="100">
        <f t="shared" si="237"/>
        <v>4599.0700000000006</v>
      </c>
      <c r="G479" s="100">
        <f t="shared" si="238"/>
        <v>2461.8700000000003</v>
      </c>
      <c r="H479" s="100">
        <f t="shared" si="239"/>
        <v>4599.0700000000006</v>
      </c>
      <c r="I479" s="100">
        <f t="shared" si="243"/>
        <v>2461.8700000000003</v>
      </c>
      <c r="J479" s="100">
        <f t="shared" si="240"/>
        <v>1.5770492927561082</v>
      </c>
      <c r="K479" s="100">
        <f t="shared" si="235"/>
        <v>0.8631326146025069</v>
      </c>
      <c r="L479" s="100">
        <f t="shared" si="241"/>
        <v>1.5770492927561082</v>
      </c>
      <c r="M479" s="100">
        <f t="shared" si="242"/>
        <v>0.8631326146025069</v>
      </c>
    </row>
    <row r="480" spans="2:13" x14ac:dyDescent="0.2">
      <c r="B480" s="138" t="s">
        <v>68</v>
      </c>
      <c r="C480" s="57">
        <f t="shared" si="236"/>
        <v>150.83333333333334</v>
      </c>
      <c r="D480" s="57">
        <v>152.41666666666666</v>
      </c>
      <c r="E480" s="155" t="s">
        <v>62</v>
      </c>
      <c r="F480" s="100">
        <f t="shared" si="237"/>
        <v>286.49</v>
      </c>
      <c r="G480" s="100">
        <f t="shared" si="238"/>
        <v>289.30000000000007</v>
      </c>
      <c r="H480" s="100">
        <f t="shared" si="239"/>
        <v>286.49</v>
      </c>
      <c r="I480" s="100">
        <f>+G480</f>
        <v>289.30000000000007</v>
      </c>
      <c r="J480" s="100">
        <f t="shared" si="240"/>
        <v>1.8993812154696132</v>
      </c>
      <c r="K480" s="100">
        <f t="shared" si="235"/>
        <v>1.8980863860032811</v>
      </c>
      <c r="L480" s="100">
        <f t="shared" si="241"/>
        <v>1.8993812154696132</v>
      </c>
      <c r="M480" s="100">
        <f t="shared" si="242"/>
        <v>1.8980863860032811</v>
      </c>
    </row>
    <row r="481" spans="2:13" x14ac:dyDescent="0.2">
      <c r="B481" s="138" t="s">
        <v>168</v>
      </c>
      <c r="C481" s="57">
        <f t="shared" si="236"/>
        <v>96.5</v>
      </c>
      <c r="D481" s="57">
        <v>97</v>
      </c>
      <c r="E481" s="155" t="s">
        <v>61</v>
      </c>
      <c r="F481" s="100">
        <f t="shared" si="237"/>
        <v>382513.80184551654</v>
      </c>
      <c r="G481" s="100">
        <f t="shared" si="238"/>
        <v>401383.11638747668</v>
      </c>
      <c r="H481" s="100">
        <f t="shared" si="239"/>
        <v>383788.02508290129</v>
      </c>
      <c r="I481" s="100">
        <f>+G481*K$473</f>
        <v>397323.47543381696</v>
      </c>
      <c r="J481" s="100">
        <f t="shared" si="240"/>
        <v>3963.8735942540575</v>
      </c>
      <c r="K481" s="100">
        <f t="shared" si="235"/>
        <v>4137.9702720358418</v>
      </c>
      <c r="L481" s="100">
        <f t="shared" si="241"/>
        <v>3977.0779801336921</v>
      </c>
      <c r="M481" s="100">
        <f t="shared" si="242"/>
        <v>4096.1183034414116</v>
      </c>
    </row>
    <row r="482" spans="2:13" x14ac:dyDescent="0.2">
      <c r="B482" s="153" t="s">
        <v>208</v>
      </c>
      <c r="C482" s="153" t="s">
        <v>227</v>
      </c>
      <c r="D482" s="153" t="s">
        <v>228</v>
      </c>
      <c r="E482" s="153"/>
      <c r="F482" s="153" t="s">
        <v>221</v>
      </c>
      <c r="G482" s="153" t="s">
        <v>228</v>
      </c>
      <c r="H482" s="153" t="str">
        <f>+F482</f>
        <v>Volume</v>
      </c>
      <c r="I482" s="153" t="str">
        <f>+G482</f>
        <v>%</v>
      </c>
      <c r="J482" s="153" t="str">
        <f t="shared" ref="J482" si="244">+H482</f>
        <v>Volume</v>
      </c>
      <c r="K482" s="153" t="str">
        <f t="shared" ref="K482" si="245">+I482</f>
        <v>%</v>
      </c>
      <c r="L482" s="153" t="str">
        <f t="shared" ref="L482" si="246">+J482</f>
        <v>Volume</v>
      </c>
      <c r="M482" s="153" t="str">
        <f t="shared" ref="M482" si="247">+K482</f>
        <v>%</v>
      </c>
    </row>
    <row r="483" spans="2:13" x14ac:dyDescent="0.2">
      <c r="B483" s="139" t="str">
        <f>+B476</f>
        <v>Residential</v>
      </c>
      <c r="C483" s="100">
        <f>+D476-C476</f>
        <v>132</v>
      </c>
      <c r="D483" s="101">
        <f>(D476-C476)/C476</f>
        <v>1.2568934735171592E-2</v>
      </c>
      <c r="E483" s="100" t="str">
        <f>+E476</f>
        <v>kWh</v>
      </c>
      <c r="F483" s="100">
        <f t="shared" ref="F483" si="248">+G476-F476</f>
        <v>287771.66385863721</v>
      </c>
      <c r="G483" s="101">
        <f t="shared" ref="G483" si="249">(G476-F476)/F476</f>
        <v>3.349047570579214E-3</v>
      </c>
      <c r="H483" s="100">
        <f t="shared" ref="H483" si="250">+I476-H476</f>
        <v>-870446.42363296449</v>
      </c>
      <c r="I483" s="101">
        <f t="shared" ref="I483" si="251">(I476-H476)/H476</f>
        <v>-1.0096504053794435E-2</v>
      </c>
      <c r="J483" s="100">
        <f t="shared" ref="J483" si="252">+K476-J476</f>
        <v>-74.499311338024199</v>
      </c>
      <c r="K483" s="101">
        <f t="shared" ref="K483" si="253">(K476-J476)/J476</f>
        <v>-9.1054414650828704E-3</v>
      </c>
      <c r="L483" s="100">
        <f t="shared" ref="L483" si="254">+M476-L476</f>
        <v>-183.75327708830628</v>
      </c>
      <c r="M483" s="101">
        <f t="shared" ref="M483:M488" si="255">(M476-L476)/L476</f>
        <v>-2.2384094565269186E-2</v>
      </c>
    </row>
    <row r="484" spans="2:13" x14ac:dyDescent="0.2">
      <c r="B484" s="139" t="str">
        <f t="shared" ref="B484:B488" si="256">+B477</f>
        <v>GS&lt;50 kW</v>
      </c>
      <c r="C484" s="100">
        <f t="shared" ref="C484:C488" si="257">+D477-C477</f>
        <v>-0.66666666666674246</v>
      </c>
      <c r="D484" s="101">
        <f t="shared" ref="D484:D488" si="258">(D477-C477)/C477</f>
        <v>-5.8801911062116203E-4</v>
      </c>
      <c r="E484" s="100" t="str">
        <f t="shared" ref="E484:E488" si="259">+E477</f>
        <v>kWh</v>
      </c>
      <c r="F484" s="100">
        <f t="shared" ref="F484" si="260">+G477-F477</f>
        <v>287461.17308940738</v>
      </c>
      <c r="G484" s="101">
        <f t="shared" ref="G484" si="261">(G477-F477)/F477</f>
        <v>8.4131258837696968E-3</v>
      </c>
      <c r="H484" s="100">
        <f t="shared" ref="H484" si="262">+I477-H477</f>
        <v>-174848.0522851944</v>
      </c>
      <c r="I484" s="101">
        <f t="shared" ref="I484" si="263">(I477-H477)/H477</f>
        <v>-5.1002877937495507E-3</v>
      </c>
      <c r="J484" s="100">
        <f t="shared" ref="J484" si="264">+K477-J477</f>
        <v>271.42991605897259</v>
      </c>
      <c r="K484" s="101">
        <f t="shared" ref="K484" si="265">(K477-J477)/J477</f>
        <v>9.0064409537903185E-3</v>
      </c>
      <c r="L484" s="100">
        <f t="shared" ref="L484" si="266">+M477-L477</f>
        <v>-136.52092320320298</v>
      </c>
      <c r="M484" s="101">
        <f t="shared" si="255"/>
        <v>-4.5149235444554214E-3</v>
      </c>
    </row>
    <row r="485" spans="2:13" x14ac:dyDescent="0.2">
      <c r="B485" s="139" t="str">
        <f t="shared" si="256"/>
        <v>GS&gt;50 kW</v>
      </c>
      <c r="C485" s="100">
        <f t="shared" si="257"/>
        <v>1.1666666666666572</v>
      </c>
      <c r="D485" s="101">
        <f t="shared" si="258"/>
        <v>8.4084084084083393E-3</v>
      </c>
      <c r="E485" s="155" t="str">
        <f t="shared" si="259"/>
        <v>kW</v>
      </c>
      <c r="F485" s="100">
        <f t="shared" ref="F485" si="267">+G478-F478</f>
        <v>18412.83157361229</v>
      </c>
      <c r="G485" s="101">
        <f t="shared" ref="G485" si="268">(G478-F478)/F478</f>
        <v>6.3392970677640589E-2</v>
      </c>
      <c r="H485" s="100">
        <f t="shared" ref="H485" si="269">+I478-H478</f>
        <v>18412.83157361229</v>
      </c>
      <c r="I485" s="101">
        <f t="shared" ref="I485" si="270">(I478-H478)/H478</f>
        <v>6.3392970677640589E-2</v>
      </c>
      <c r="J485" s="100">
        <f t="shared" ref="J485" si="271">+K478-J478</f>
        <v>114.14339838610022</v>
      </c>
      <c r="K485" s="101">
        <f t="shared" ref="K485" si="272">(K478-J478)/J478</f>
        <v>5.4526084680328581E-2</v>
      </c>
      <c r="L485" s="100">
        <f t="shared" ref="L485" si="273">+M478-L478</f>
        <v>114.14339838610022</v>
      </c>
      <c r="M485" s="101">
        <f t="shared" si="255"/>
        <v>5.4526084680328581E-2</v>
      </c>
    </row>
    <row r="486" spans="2:13" x14ac:dyDescent="0.2">
      <c r="B486" s="139" t="str">
        <f t="shared" si="256"/>
        <v>Street Lighting</v>
      </c>
      <c r="C486" s="100">
        <f t="shared" si="257"/>
        <v>-64</v>
      </c>
      <c r="D486" s="101">
        <f t="shared" si="258"/>
        <v>-2.1945992284612088E-2</v>
      </c>
      <c r="E486" s="155" t="str">
        <f t="shared" si="259"/>
        <v>kW</v>
      </c>
      <c r="F486" s="100">
        <f t="shared" ref="F486" si="274">+G479-F479</f>
        <v>-2137.2000000000003</v>
      </c>
      <c r="G486" s="101">
        <f t="shared" ref="G486" si="275">(G479-F479)/F479</f>
        <v>-0.46470264640459918</v>
      </c>
      <c r="H486" s="100">
        <f t="shared" ref="H486" si="276">+I479-H479</f>
        <v>-2137.2000000000003</v>
      </c>
      <c r="I486" s="101">
        <f t="shared" ref="I486" si="277">(I479-H479)/H479</f>
        <v>-0.46470264640459918</v>
      </c>
      <c r="J486" s="100">
        <f t="shared" ref="J486" si="278">+K479-J479</f>
        <v>-0.71391667815360127</v>
      </c>
      <c r="K486" s="101">
        <f t="shared" ref="K486" si="279">(K479-J479)/J479</f>
        <v>-0.45269141645276967</v>
      </c>
      <c r="L486" s="100">
        <f t="shared" ref="L486" si="280">+M479-L479</f>
        <v>-0.71391667815360127</v>
      </c>
      <c r="M486" s="101">
        <f t="shared" si="255"/>
        <v>-0.45269141645276967</v>
      </c>
    </row>
    <row r="487" spans="2:13" x14ac:dyDescent="0.2">
      <c r="B487" s="139" t="str">
        <f t="shared" si="256"/>
        <v>Sentinel Lights</v>
      </c>
      <c r="C487" s="100">
        <f t="shared" si="257"/>
        <v>1.5833333333333144</v>
      </c>
      <c r="D487" s="101">
        <f t="shared" si="258"/>
        <v>1.0497237569060647E-2</v>
      </c>
      <c r="E487" s="155" t="str">
        <f t="shared" si="259"/>
        <v>kW</v>
      </c>
      <c r="F487" s="100">
        <f t="shared" ref="F487" si="281">+G480-F480</f>
        <v>2.8100000000000591</v>
      </c>
      <c r="G487" s="101">
        <f t="shared" ref="G487" si="282">(G480-F480)/F480</f>
        <v>9.8083702747043845E-3</v>
      </c>
      <c r="H487" s="100">
        <f t="shared" ref="H487" si="283">+I480-H480</f>
        <v>2.8100000000000591</v>
      </c>
      <c r="I487" s="101">
        <f t="shared" ref="I487" si="284">(I480-H480)/H480</f>
        <v>9.8083702747043845E-3</v>
      </c>
      <c r="J487" s="100">
        <f t="shared" ref="J487" si="285">+K480-J480</f>
        <v>-1.2948294663321924E-3</v>
      </c>
      <c r="K487" s="101">
        <f t="shared" ref="K487" si="286">(K480-J480)/J480</f>
        <v>-6.8171120983317286E-4</v>
      </c>
      <c r="L487" s="100">
        <f t="shared" ref="L487" si="287">+M480-L480</f>
        <v>-1.2948294663321924E-3</v>
      </c>
      <c r="M487" s="101">
        <f t="shared" si="255"/>
        <v>-6.8171120983317286E-4</v>
      </c>
    </row>
    <row r="488" spans="2:13" x14ac:dyDescent="0.2">
      <c r="B488" s="139" t="str">
        <f t="shared" si="256"/>
        <v>USL</v>
      </c>
      <c r="C488" s="100">
        <f t="shared" si="257"/>
        <v>0.5</v>
      </c>
      <c r="D488" s="101">
        <f t="shared" si="258"/>
        <v>5.1813471502590676E-3</v>
      </c>
      <c r="E488" s="155" t="str">
        <f t="shared" si="259"/>
        <v>kWh</v>
      </c>
      <c r="F488" s="100">
        <f t="shared" ref="F488" si="288">+G481-F481</f>
        <v>18869.314541960135</v>
      </c>
      <c r="G488" s="101">
        <f t="shared" ref="G488" si="289">(G481-F481)/F481</f>
        <v>4.932976130775215E-2</v>
      </c>
      <c r="H488" s="100">
        <f t="shared" ref="H488" si="290">+I481-H481</f>
        <v>13535.450350915664</v>
      </c>
      <c r="I488" s="101">
        <f t="shared" ref="I488" si="291">(I481-H481)/H481</f>
        <v>3.5268037214011297E-2</v>
      </c>
      <c r="J488" s="100">
        <f t="shared" ref="J488" si="292">+K481-J481</f>
        <v>174.09667778178436</v>
      </c>
      <c r="K488" s="101">
        <f t="shared" ref="K488" si="293">(K481-J481)/J481</f>
        <v>4.3920845012351308E-2</v>
      </c>
      <c r="L488" s="100">
        <f t="shared" ref="L488" si="294">+M481-L481</f>
        <v>119.04032330771952</v>
      </c>
      <c r="M488" s="101">
        <f t="shared" si="255"/>
        <v>2.9931604032495712E-2</v>
      </c>
    </row>
    <row r="490" spans="2:13" x14ac:dyDescent="0.2">
      <c r="B490" s="47" t="str">
        <f>C493&amp;" vs "&amp;D493</f>
        <v>2016 Actual vs 2017 Actual</v>
      </c>
    </row>
    <row r="491" spans="2:13" x14ac:dyDescent="0.2">
      <c r="J491" s="156" t="s">
        <v>223</v>
      </c>
      <c r="K491" s="157">
        <f>+Q425</f>
        <v>1.0091434633667158</v>
      </c>
    </row>
    <row r="492" spans="2:13" x14ac:dyDescent="0.2">
      <c r="B492" s="253" t="s">
        <v>207</v>
      </c>
      <c r="C492" s="251" t="s">
        <v>219</v>
      </c>
      <c r="D492" s="252"/>
      <c r="E492" s="253" t="s">
        <v>220</v>
      </c>
      <c r="F492" s="251" t="s">
        <v>221</v>
      </c>
      <c r="G492" s="252"/>
      <c r="H492" s="251" t="s">
        <v>225</v>
      </c>
      <c r="I492" s="252"/>
      <c r="J492" s="251" t="s">
        <v>222</v>
      </c>
      <c r="K492" s="252"/>
      <c r="L492" s="251" t="s">
        <v>224</v>
      </c>
      <c r="M492" s="252"/>
    </row>
    <row r="493" spans="2:13" x14ac:dyDescent="0.2">
      <c r="B493" s="253" t="s">
        <v>207</v>
      </c>
      <c r="C493" s="153" t="s">
        <v>231</v>
      </c>
      <c r="D493" s="153" t="s">
        <v>232</v>
      </c>
      <c r="E493" s="253" t="s">
        <v>214</v>
      </c>
      <c r="F493" s="153" t="str">
        <f>+C493</f>
        <v>2016 Actual</v>
      </c>
      <c r="G493" s="153" t="str">
        <f>+D493</f>
        <v>2017 Actual</v>
      </c>
      <c r="H493" s="153" t="str">
        <f>+F493</f>
        <v>2016 Actual</v>
      </c>
      <c r="I493" s="153" t="str">
        <f>+G493</f>
        <v>2017 Actual</v>
      </c>
      <c r="J493" s="153" t="str">
        <f t="shared" ref="J493" si="295">+H493</f>
        <v>2016 Actual</v>
      </c>
      <c r="K493" s="153" t="str">
        <f t="shared" ref="K493" si="296">+I493</f>
        <v>2017 Actual</v>
      </c>
      <c r="L493" s="153" t="str">
        <f t="shared" ref="L493" si="297">+J493</f>
        <v>2016 Actual</v>
      </c>
      <c r="M493" s="153" t="str">
        <f t="shared" ref="M493" si="298">+K493</f>
        <v>2017 Actual</v>
      </c>
    </row>
    <row r="494" spans="2:13" x14ac:dyDescent="0.2">
      <c r="B494" s="138" t="s">
        <v>100</v>
      </c>
      <c r="C494" s="57">
        <f>+D476</f>
        <v>10634.083333333334</v>
      </c>
      <c r="D494" s="57" cm="1">
        <f t="array" ref="D494:D499">TRANSPOSE(C55:H55)</f>
        <v>10912.666666666666</v>
      </c>
      <c r="E494" s="100" t="s">
        <v>61</v>
      </c>
      <c r="F494" s="100">
        <f>+G476</f>
        <v>86214190.382619157</v>
      </c>
      <c r="G494" s="100">
        <f>+G422</f>
        <v>83878663.289841563</v>
      </c>
      <c r="H494" s="100">
        <f>+I476</f>
        <v>85342208.867268071</v>
      </c>
      <c r="I494" s="100">
        <f>+G494*K$491</f>
        <v>84645604.774881318</v>
      </c>
      <c r="J494" s="100">
        <f>+F494/C494</f>
        <v>8107.3457561099121</v>
      </c>
      <c r="K494" s="100">
        <f t="shared" ref="K494:K499" si="299">+G494/D494</f>
        <v>7686.3580508743571</v>
      </c>
      <c r="L494" s="100">
        <f>+H494/C494</f>
        <v>8025.3470084963974</v>
      </c>
      <c r="M494" s="100">
        <f>+I494/D494</f>
        <v>7756.6379841359876</v>
      </c>
    </row>
    <row r="495" spans="2:13" x14ac:dyDescent="0.2">
      <c r="B495" s="138" t="s">
        <v>215</v>
      </c>
      <c r="C495" s="57">
        <f t="shared" ref="C495:C499" si="300">+D477</f>
        <v>1133.0833333333333</v>
      </c>
      <c r="D495" s="57">
        <v>1143.1666666666667</v>
      </c>
      <c r="E495" s="100" t="s">
        <v>61</v>
      </c>
      <c r="F495" s="100">
        <f t="shared" ref="F495:F499" si="301">+G477</f>
        <v>34455638.026827835</v>
      </c>
      <c r="G495" s="100">
        <f t="shared" ref="G495:G499" si="302">+G423</f>
        <v>34387085.601475</v>
      </c>
      <c r="H495" s="100">
        <f t="shared" ref="H495:H499" si="303">+I477</f>
        <v>34107149.230196059</v>
      </c>
      <c r="I495" s="100">
        <f>+G495*K$491</f>
        <v>34701502.658960208</v>
      </c>
      <c r="J495" s="100">
        <f t="shared" ref="J495:J499" si="304">+F495/C495</f>
        <v>30408.741363678313</v>
      </c>
      <c r="K495" s="100">
        <f t="shared" si="299"/>
        <v>30080.55308483015</v>
      </c>
      <c r="L495" s="100">
        <f t="shared" ref="L495:L499" si="305">+H495/C495</f>
        <v>30101.183405335938</v>
      </c>
      <c r="M495" s="100">
        <f t="shared" ref="M495:M499" si="306">+I495/D495</f>
        <v>30355.593520011844</v>
      </c>
    </row>
    <row r="496" spans="2:13" x14ac:dyDescent="0.2">
      <c r="B496" s="138" t="s">
        <v>119</v>
      </c>
      <c r="C496" s="57">
        <f t="shared" si="300"/>
        <v>139.91666666666666</v>
      </c>
      <c r="D496" s="57">
        <v>134.33333333333334</v>
      </c>
      <c r="E496" s="155" t="s">
        <v>62</v>
      </c>
      <c r="F496" s="100">
        <f t="shared" si="301"/>
        <v>308868.24605865555</v>
      </c>
      <c r="G496" s="100">
        <f t="shared" si="302"/>
        <v>297257.4140142221</v>
      </c>
      <c r="H496" s="100">
        <f t="shared" si="303"/>
        <v>308868.24605865555</v>
      </c>
      <c r="I496" s="100">
        <f t="shared" ref="I496:I497" si="307">+G496</f>
        <v>297257.4140142221</v>
      </c>
      <c r="J496" s="100">
        <f t="shared" si="304"/>
        <v>2207.5157550350605</v>
      </c>
      <c r="K496" s="100">
        <f t="shared" si="299"/>
        <v>2212.8343475004126</v>
      </c>
      <c r="L496" s="100">
        <f t="shared" si="305"/>
        <v>2207.5157550350605</v>
      </c>
      <c r="M496" s="100">
        <f t="shared" si="306"/>
        <v>2212.8343475004126</v>
      </c>
    </row>
    <row r="497" spans="2:13" x14ac:dyDescent="0.2">
      <c r="B497" s="138" t="s">
        <v>114</v>
      </c>
      <c r="C497" s="57">
        <f t="shared" si="300"/>
        <v>2852.25</v>
      </c>
      <c r="D497" s="57">
        <v>2876.75</v>
      </c>
      <c r="E497" s="155" t="s">
        <v>62</v>
      </c>
      <c r="F497" s="100">
        <f t="shared" si="301"/>
        <v>2461.8700000000003</v>
      </c>
      <c r="G497" s="100">
        <f t="shared" si="302"/>
        <v>2404.58</v>
      </c>
      <c r="H497" s="100">
        <f t="shared" si="303"/>
        <v>2461.8700000000003</v>
      </c>
      <c r="I497" s="100">
        <f t="shared" si="307"/>
        <v>2404.58</v>
      </c>
      <c r="J497" s="100">
        <f t="shared" si="304"/>
        <v>0.8631326146025069</v>
      </c>
      <c r="K497" s="100">
        <f t="shared" si="299"/>
        <v>0.83586686364821405</v>
      </c>
      <c r="L497" s="100">
        <f t="shared" si="305"/>
        <v>0.8631326146025069</v>
      </c>
      <c r="M497" s="100">
        <f t="shared" si="306"/>
        <v>0.83586686364821405</v>
      </c>
    </row>
    <row r="498" spans="2:13" x14ac:dyDescent="0.2">
      <c r="B498" s="138" t="s">
        <v>68</v>
      </c>
      <c r="C498" s="57">
        <f t="shared" si="300"/>
        <v>152.41666666666666</v>
      </c>
      <c r="D498" s="57">
        <v>150.83333333333334</v>
      </c>
      <c r="E498" s="155" t="s">
        <v>62</v>
      </c>
      <c r="F498" s="100">
        <f t="shared" si="301"/>
        <v>289.30000000000007</v>
      </c>
      <c r="G498" s="100">
        <f t="shared" si="302"/>
        <v>310.00000000000006</v>
      </c>
      <c r="H498" s="100">
        <f t="shared" si="303"/>
        <v>289.30000000000007</v>
      </c>
      <c r="I498" s="100">
        <f>+G498</f>
        <v>310.00000000000006</v>
      </c>
      <c r="J498" s="100">
        <f t="shared" si="304"/>
        <v>1.8980863860032811</v>
      </c>
      <c r="K498" s="100">
        <f t="shared" si="299"/>
        <v>2.0552486187845305</v>
      </c>
      <c r="L498" s="100">
        <f t="shared" si="305"/>
        <v>1.8980863860032811</v>
      </c>
      <c r="M498" s="100">
        <f t="shared" si="306"/>
        <v>2.0552486187845305</v>
      </c>
    </row>
    <row r="499" spans="2:13" x14ac:dyDescent="0.2">
      <c r="B499" s="138" t="s">
        <v>168</v>
      </c>
      <c r="C499" s="57">
        <f t="shared" si="300"/>
        <v>97</v>
      </c>
      <c r="D499" s="57">
        <v>97</v>
      </c>
      <c r="E499" s="155" t="s">
        <v>61</v>
      </c>
      <c r="F499" s="100">
        <f t="shared" si="301"/>
        <v>401383.11638747668</v>
      </c>
      <c r="G499" s="100">
        <f t="shared" si="302"/>
        <v>380609.58741668583</v>
      </c>
      <c r="H499" s="100">
        <f t="shared" si="303"/>
        <v>397323.47543381696</v>
      </c>
      <c r="I499" s="100">
        <f>+G499*K$491</f>
        <v>384089.67723625113</v>
      </c>
      <c r="J499" s="100">
        <f t="shared" si="304"/>
        <v>4137.9702720358418</v>
      </c>
      <c r="K499" s="100">
        <f t="shared" si="299"/>
        <v>3923.8101795534621</v>
      </c>
      <c r="L499" s="100">
        <f t="shared" si="305"/>
        <v>4096.1183034414116</v>
      </c>
      <c r="M499" s="100">
        <f t="shared" si="306"/>
        <v>3959.6873941881558</v>
      </c>
    </row>
    <row r="500" spans="2:13" x14ac:dyDescent="0.2">
      <c r="B500" s="153" t="s">
        <v>208</v>
      </c>
      <c r="C500" s="153" t="s">
        <v>227</v>
      </c>
      <c r="D500" s="153" t="s">
        <v>228</v>
      </c>
      <c r="E500" s="153"/>
      <c r="F500" s="153" t="s">
        <v>221</v>
      </c>
      <c r="G500" s="153" t="s">
        <v>228</v>
      </c>
      <c r="H500" s="153" t="str">
        <f>+F500</f>
        <v>Volume</v>
      </c>
      <c r="I500" s="153" t="str">
        <f>+G500</f>
        <v>%</v>
      </c>
      <c r="J500" s="153" t="str">
        <f t="shared" ref="J500" si="308">+H500</f>
        <v>Volume</v>
      </c>
      <c r="K500" s="153" t="str">
        <f t="shared" ref="K500" si="309">+I500</f>
        <v>%</v>
      </c>
      <c r="L500" s="153" t="str">
        <f t="shared" ref="L500" si="310">+J500</f>
        <v>Volume</v>
      </c>
      <c r="M500" s="153" t="str">
        <f t="shared" ref="M500" si="311">+K500</f>
        <v>%</v>
      </c>
    </row>
    <row r="501" spans="2:13" x14ac:dyDescent="0.2">
      <c r="B501" s="139" t="str">
        <f>+B494</f>
        <v>Residential</v>
      </c>
      <c r="C501" s="100">
        <f>+D494-C494</f>
        <v>278.58333333333212</v>
      </c>
      <c r="D501" s="101">
        <f>(D494-C494)/C494</f>
        <v>2.6197211795406166E-2</v>
      </c>
      <c r="E501" s="100" t="str">
        <f>+E494</f>
        <v>kWh</v>
      </c>
      <c r="F501" s="100">
        <f t="shared" ref="F501:F506" si="312">+G494-F494</f>
        <v>-2335527.0927775949</v>
      </c>
      <c r="G501" s="101">
        <f t="shared" ref="G501:G506" si="313">(G494-F494)/F494</f>
        <v>-2.7089822248663589E-2</v>
      </c>
      <c r="H501" s="100">
        <f t="shared" ref="H501:H506" si="314">+I494-H494</f>
        <v>-696604.09238675237</v>
      </c>
      <c r="I501" s="101">
        <f t="shared" ref="I501:I506" si="315">(I494-H494)/H494</f>
        <v>-8.1624802267559558E-3</v>
      </c>
      <c r="J501" s="100">
        <f t="shared" ref="J501:J506" si="316">+K494-J494</f>
        <v>-420.98770523555504</v>
      </c>
      <c r="K501" s="101">
        <f t="shared" ref="K501:K506" si="317">(K494-J494)/J494</f>
        <v>-5.1926699304551981E-2</v>
      </c>
      <c r="L501" s="100">
        <f t="shared" ref="L501:L506" si="318">+M494-L494</f>
        <v>-268.70902436040979</v>
      </c>
      <c r="M501" s="101">
        <f t="shared" ref="M501:M506" si="319">(M494-L494)/L494</f>
        <v>-3.3482542758079971E-2</v>
      </c>
    </row>
    <row r="502" spans="2:13" x14ac:dyDescent="0.2">
      <c r="B502" s="139" t="str">
        <f t="shared" ref="B502:B506" si="320">+B495</f>
        <v>GS&lt;50 kW</v>
      </c>
      <c r="C502" s="100">
        <f t="shared" ref="C502:C506" si="321">+D495-C495</f>
        <v>10.083333333333485</v>
      </c>
      <c r="D502" s="101">
        <f t="shared" ref="D502:D506" si="322">(D495-C495)/C495</f>
        <v>8.8990218430537484E-3</v>
      </c>
      <c r="E502" s="100" t="str">
        <f t="shared" ref="E502:E506" si="323">+E495</f>
        <v>kWh</v>
      </c>
      <c r="F502" s="100">
        <f t="shared" si="312"/>
        <v>-68552.425352834165</v>
      </c>
      <c r="G502" s="101">
        <f t="shared" si="313"/>
        <v>-1.9895851384164735E-3</v>
      </c>
      <c r="H502" s="100">
        <f t="shared" si="314"/>
        <v>594353.42876414955</v>
      </c>
      <c r="I502" s="101">
        <f t="shared" si="315"/>
        <v>1.7426065859469458E-2</v>
      </c>
      <c r="J502" s="100">
        <f t="shared" si="316"/>
        <v>-328.18827884816346</v>
      </c>
      <c r="K502" s="101">
        <f t="shared" si="317"/>
        <v>-1.0792563721172873E-2</v>
      </c>
      <c r="L502" s="100">
        <f t="shared" si="318"/>
        <v>254.41011467590579</v>
      </c>
      <c r="M502" s="101">
        <f t="shared" si="319"/>
        <v>8.4518309878410733E-3</v>
      </c>
    </row>
    <row r="503" spans="2:13" x14ac:dyDescent="0.2">
      <c r="B503" s="139" t="str">
        <f t="shared" si="320"/>
        <v>GS&gt;50 kW</v>
      </c>
      <c r="C503" s="100">
        <f t="shared" si="321"/>
        <v>-5.5833333333333144</v>
      </c>
      <c r="D503" s="101">
        <f t="shared" si="322"/>
        <v>-3.9904705181655613E-2</v>
      </c>
      <c r="E503" s="155" t="str">
        <f t="shared" si="323"/>
        <v>kW</v>
      </c>
      <c r="F503" s="100">
        <f t="shared" si="312"/>
        <v>-11610.832044433453</v>
      </c>
      <c r="G503" s="101">
        <f t="shared" si="313"/>
        <v>-3.7591536820617361E-2</v>
      </c>
      <c r="H503" s="100">
        <f t="shared" si="314"/>
        <v>-11610.832044433453</v>
      </c>
      <c r="I503" s="101">
        <f t="shared" si="315"/>
        <v>-3.7591536820617361E-2</v>
      </c>
      <c r="J503" s="100">
        <f t="shared" si="316"/>
        <v>5.3185924653521397</v>
      </c>
      <c r="K503" s="101">
        <f t="shared" si="317"/>
        <v>2.4093112147540114E-3</v>
      </c>
      <c r="L503" s="100">
        <f t="shared" si="318"/>
        <v>5.3185924653521397</v>
      </c>
      <c r="M503" s="101">
        <f t="shared" si="319"/>
        <v>2.4093112147540114E-3</v>
      </c>
    </row>
    <row r="504" spans="2:13" x14ac:dyDescent="0.2">
      <c r="B504" s="139" t="str">
        <f t="shared" si="320"/>
        <v>Street Lighting</v>
      </c>
      <c r="C504" s="100">
        <f t="shared" si="321"/>
        <v>24.5</v>
      </c>
      <c r="D504" s="101">
        <f t="shared" si="322"/>
        <v>8.58970987816636E-3</v>
      </c>
      <c r="E504" s="155" t="str">
        <f t="shared" si="323"/>
        <v>kW</v>
      </c>
      <c r="F504" s="100">
        <f t="shared" si="312"/>
        <v>-57.290000000000418</v>
      </c>
      <c r="G504" s="101">
        <f t="shared" si="313"/>
        <v>-2.3270928196858651E-2</v>
      </c>
      <c r="H504" s="100">
        <f t="shared" si="314"/>
        <v>-57.290000000000418</v>
      </c>
      <c r="I504" s="101">
        <f t="shared" si="315"/>
        <v>-2.3270928196858651E-2</v>
      </c>
      <c r="J504" s="100">
        <f t="shared" si="316"/>
        <v>-2.7265750954292844E-2</v>
      </c>
      <c r="K504" s="101">
        <f t="shared" si="317"/>
        <v>-3.1589295194052389E-2</v>
      </c>
      <c r="L504" s="100">
        <f t="shared" si="318"/>
        <v>-2.7265750954292844E-2</v>
      </c>
      <c r="M504" s="101">
        <f t="shared" si="319"/>
        <v>-3.1589295194052389E-2</v>
      </c>
    </row>
    <row r="505" spans="2:13" x14ac:dyDescent="0.2">
      <c r="B505" s="139" t="str">
        <f t="shared" si="320"/>
        <v>Sentinel Lights</v>
      </c>
      <c r="C505" s="100">
        <f t="shared" si="321"/>
        <v>-1.5833333333333144</v>
      </c>
      <c r="D505" s="101">
        <f t="shared" si="322"/>
        <v>-1.0388190267905837E-2</v>
      </c>
      <c r="E505" s="155" t="str">
        <f t="shared" si="323"/>
        <v>kW</v>
      </c>
      <c r="F505" s="100">
        <f t="shared" si="312"/>
        <v>20.699999999999989</v>
      </c>
      <c r="G505" s="101">
        <f t="shared" si="313"/>
        <v>7.1552022122364278E-2</v>
      </c>
      <c r="H505" s="100">
        <f t="shared" si="314"/>
        <v>20.699999999999989</v>
      </c>
      <c r="I505" s="101">
        <f t="shared" si="315"/>
        <v>7.1552022122364278E-2</v>
      </c>
      <c r="J505" s="100">
        <f t="shared" si="316"/>
        <v>0.15716223278124941</v>
      </c>
      <c r="K505" s="101">
        <f t="shared" si="317"/>
        <v>8.2800358266189963E-2</v>
      </c>
      <c r="L505" s="100">
        <f t="shared" si="318"/>
        <v>0.15716223278124941</v>
      </c>
      <c r="M505" s="101">
        <f t="shared" si="319"/>
        <v>8.2800358266189963E-2</v>
      </c>
    </row>
    <row r="506" spans="2:13" x14ac:dyDescent="0.2">
      <c r="B506" s="139" t="str">
        <f t="shared" si="320"/>
        <v>USL</v>
      </c>
      <c r="C506" s="100">
        <f t="shared" si="321"/>
        <v>0</v>
      </c>
      <c r="D506" s="101">
        <f t="shared" si="322"/>
        <v>0</v>
      </c>
      <c r="E506" s="155" t="str">
        <f t="shared" si="323"/>
        <v>kWh</v>
      </c>
      <c r="F506" s="100">
        <f t="shared" si="312"/>
        <v>-20773.528970790852</v>
      </c>
      <c r="G506" s="101">
        <f t="shared" si="313"/>
        <v>-5.1754864922462382E-2</v>
      </c>
      <c r="H506" s="100">
        <f t="shared" si="314"/>
        <v>-13233.798197565833</v>
      </c>
      <c r="I506" s="101">
        <f t="shared" si="315"/>
        <v>-3.3307365448559348E-2</v>
      </c>
      <c r="J506" s="100">
        <f t="shared" si="316"/>
        <v>-214.1600924823797</v>
      </c>
      <c r="K506" s="101">
        <f t="shared" si="317"/>
        <v>-5.1754864922462333E-2</v>
      </c>
      <c r="L506" s="100">
        <f t="shared" si="318"/>
        <v>-136.43090925325578</v>
      </c>
      <c r="M506" s="101">
        <f t="shared" si="319"/>
        <v>-3.3307365448559292E-2</v>
      </c>
    </row>
    <row r="508" spans="2:13" x14ac:dyDescent="0.2">
      <c r="B508" s="47" t="str">
        <f>C511&amp;" vs "&amp;D511</f>
        <v>2017 Actual vs 2018 Actual</v>
      </c>
    </row>
    <row r="509" spans="2:13" x14ac:dyDescent="0.2">
      <c r="J509" s="156" t="s">
        <v>223</v>
      </c>
      <c r="K509" s="157">
        <f>+Q426</f>
        <v>0.98789516284834566</v>
      </c>
    </row>
    <row r="510" spans="2:13" x14ac:dyDescent="0.2">
      <c r="B510" s="253" t="s">
        <v>207</v>
      </c>
      <c r="C510" s="251" t="s">
        <v>219</v>
      </c>
      <c r="D510" s="252"/>
      <c r="E510" s="253" t="s">
        <v>220</v>
      </c>
      <c r="F510" s="251" t="s">
        <v>221</v>
      </c>
      <c r="G510" s="252"/>
      <c r="H510" s="251" t="s">
        <v>225</v>
      </c>
      <c r="I510" s="252"/>
      <c r="J510" s="251" t="s">
        <v>222</v>
      </c>
      <c r="K510" s="252"/>
      <c r="L510" s="251" t="s">
        <v>224</v>
      </c>
      <c r="M510" s="252"/>
    </row>
    <row r="511" spans="2:13" x14ac:dyDescent="0.2">
      <c r="B511" s="253" t="s">
        <v>207</v>
      </c>
      <c r="C511" s="153" t="s">
        <v>232</v>
      </c>
      <c r="D511" s="153" t="s">
        <v>233</v>
      </c>
      <c r="E511" s="253" t="s">
        <v>214</v>
      </c>
      <c r="F511" s="153" t="str">
        <f>+C511</f>
        <v>2017 Actual</v>
      </c>
      <c r="G511" s="153" t="str">
        <f>+D511</f>
        <v>2018 Actual</v>
      </c>
      <c r="H511" s="153" t="str">
        <f>+F511</f>
        <v>2017 Actual</v>
      </c>
      <c r="I511" s="153" t="str">
        <f>+G511</f>
        <v>2018 Actual</v>
      </c>
      <c r="J511" s="153" t="str">
        <f t="shared" ref="J511" si="324">+H511</f>
        <v>2017 Actual</v>
      </c>
      <c r="K511" s="153" t="str">
        <f t="shared" ref="K511" si="325">+I511</f>
        <v>2018 Actual</v>
      </c>
      <c r="L511" s="153" t="str">
        <f t="shared" ref="L511" si="326">+J511</f>
        <v>2017 Actual</v>
      </c>
      <c r="M511" s="153" t="str">
        <f t="shared" ref="M511" si="327">+K511</f>
        <v>2018 Actual</v>
      </c>
    </row>
    <row r="512" spans="2:13" x14ac:dyDescent="0.2">
      <c r="B512" s="138" t="s">
        <v>100</v>
      </c>
      <c r="C512" s="57">
        <f>+D494</f>
        <v>10912.666666666666</v>
      </c>
      <c r="D512" s="57" cm="1">
        <f t="array" ref="D512:D517">TRANSPOSE(C56:H56)</f>
        <v>11219.083333333334</v>
      </c>
      <c r="E512" s="100" t="s">
        <v>61</v>
      </c>
      <c r="F512" s="100">
        <f>+G494</f>
        <v>83878663.289841563</v>
      </c>
      <c r="G512" s="100">
        <f>+H422</f>
        <v>91709432.73716554</v>
      </c>
      <c r="H512" s="100">
        <f>+I494</f>
        <v>84645604.774881318</v>
      </c>
      <c r="I512" s="100">
        <f>+G512*K$509</f>
        <v>90599304.988611549</v>
      </c>
      <c r="J512" s="100">
        <f>+F512/C512</f>
        <v>7686.3580508743571</v>
      </c>
      <c r="K512" s="100">
        <f t="shared" ref="K512:K517" si="328">+G512/D512</f>
        <v>8174.414077546342</v>
      </c>
      <c r="L512" s="100">
        <f>+H512/C512</f>
        <v>7756.6379841359876</v>
      </c>
      <c r="M512" s="100">
        <f>+I512/D512</f>
        <v>8075.4641263274516</v>
      </c>
    </row>
    <row r="513" spans="2:13" x14ac:dyDescent="0.2">
      <c r="B513" s="138" t="s">
        <v>215</v>
      </c>
      <c r="C513" s="57">
        <f t="shared" ref="C513:C517" si="329">+D495</f>
        <v>1143.1666666666667</v>
      </c>
      <c r="D513" s="57">
        <v>1154.5</v>
      </c>
      <c r="E513" s="100" t="s">
        <v>61</v>
      </c>
      <c r="F513" s="100">
        <f t="shared" ref="F513:F517" si="330">+G495</f>
        <v>34387085.601475</v>
      </c>
      <c r="G513" s="100">
        <f t="shared" ref="G513:G517" si="331">+H423</f>
        <v>35759952.621808477</v>
      </c>
      <c r="H513" s="100">
        <f t="shared" ref="H513:H517" si="332">+I495</f>
        <v>34701502.658960208</v>
      </c>
      <c r="I513" s="100">
        <f>+G513*K$509</f>
        <v>35327084.218770608</v>
      </c>
      <c r="J513" s="100">
        <f t="shared" ref="J513:J517" si="333">+F513/C513</f>
        <v>30080.55308483015</v>
      </c>
      <c r="K513" s="100">
        <f t="shared" si="328"/>
        <v>30974.406775061478</v>
      </c>
      <c r="L513" s="100">
        <f t="shared" ref="L513:L517" si="334">+H513/C513</f>
        <v>30355.593520011844</v>
      </c>
      <c r="M513" s="100">
        <f t="shared" ref="M513:M517" si="335">+I513/D513</f>
        <v>30599.466625180259</v>
      </c>
    </row>
    <row r="514" spans="2:13" x14ac:dyDescent="0.2">
      <c r="B514" s="138" t="s">
        <v>119</v>
      </c>
      <c r="C514" s="57">
        <f t="shared" si="329"/>
        <v>134.33333333333334</v>
      </c>
      <c r="D514" s="57">
        <v>135.91666666666666</v>
      </c>
      <c r="E514" s="155" t="s">
        <v>62</v>
      </c>
      <c r="F514" s="100">
        <f t="shared" si="330"/>
        <v>297257.4140142221</v>
      </c>
      <c r="G514" s="100">
        <f t="shared" si="331"/>
        <v>299851.59780658461</v>
      </c>
      <c r="H514" s="100">
        <f t="shared" si="332"/>
        <v>297257.4140142221</v>
      </c>
      <c r="I514" s="100">
        <f t="shared" ref="I514:I515" si="336">+G514</f>
        <v>299851.59780658461</v>
      </c>
      <c r="J514" s="100">
        <f t="shared" si="333"/>
        <v>2212.8343475004126</v>
      </c>
      <c r="K514" s="100">
        <f t="shared" si="328"/>
        <v>2206.1429636290713</v>
      </c>
      <c r="L514" s="100">
        <f t="shared" si="334"/>
        <v>2212.8343475004126</v>
      </c>
      <c r="M514" s="100">
        <f t="shared" si="335"/>
        <v>2206.1429636290713</v>
      </c>
    </row>
    <row r="515" spans="2:13" x14ac:dyDescent="0.2">
      <c r="B515" s="138" t="s">
        <v>114</v>
      </c>
      <c r="C515" s="57">
        <f t="shared" si="329"/>
        <v>2876.75</v>
      </c>
      <c r="D515" s="57">
        <v>2900</v>
      </c>
      <c r="E515" s="155" t="s">
        <v>62</v>
      </c>
      <c r="F515" s="100">
        <f t="shared" si="330"/>
        <v>2404.58</v>
      </c>
      <c r="G515" s="100">
        <f t="shared" si="331"/>
        <v>2423.3099999999995</v>
      </c>
      <c r="H515" s="100">
        <f t="shared" si="332"/>
        <v>2404.58</v>
      </c>
      <c r="I515" s="100">
        <f t="shared" si="336"/>
        <v>2423.3099999999995</v>
      </c>
      <c r="J515" s="100">
        <f t="shared" si="333"/>
        <v>0.83586686364821405</v>
      </c>
      <c r="K515" s="100">
        <f t="shared" si="328"/>
        <v>0.83562413793103429</v>
      </c>
      <c r="L515" s="100">
        <f t="shared" si="334"/>
        <v>0.83586686364821405</v>
      </c>
      <c r="M515" s="100">
        <f t="shared" si="335"/>
        <v>0.83562413793103429</v>
      </c>
    </row>
    <row r="516" spans="2:13" x14ac:dyDescent="0.2">
      <c r="B516" s="138" t="s">
        <v>68</v>
      </c>
      <c r="C516" s="57">
        <f t="shared" si="329"/>
        <v>150.83333333333334</v>
      </c>
      <c r="D516" s="57">
        <v>153.66666666666666</v>
      </c>
      <c r="E516" s="155" t="s">
        <v>62</v>
      </c>
      <c r="F516" s="100">
        <f t="shared" si="330"/>
        <v>310.00000000000006</v>
      </c>
      <c r="G516" s="100">
        <f t="shared" si="331"/>
        <v>280.60000000000002</v>
      </c>
      <c r="H516" s="100">
        <f t="shared" si="332"/>
        <v>310.00000000000006</v>
      </c>
      <c r="I516" s="100">
        <f>+G516</f>
        <v>280.60000000000002</v>
      </c>
      <c r="J516" s="100">
        <f t="shared" si="333"/>
        <v>2.0552486187845305</v>
      </c>
      <c r="K516" s="100">
        <f t="shared" si="328"/>
        <v>1.8260303687635577</v>
      </c>
      <c r="L516" s="100">
        <f t="shared" si="334"/>
        <v>2.0552486187845305</v>
      </c>
      <c r="M516" s="100">
        <f t="shared" si="335"/>
        <v>1.8260303687635577</v>
      </c>
    </row>
    <row r="517" spans="2:13" x14ac:dyDescent="0.2">
      <c r="B517" s="138" t="s">
        <v>168</v>
      </c>
      <c r="C517" s="57">
        <f t="shared" si="329"/>
        <v>97</v>
      </c>
      <c r="D517" s="57">
        <v>97</v>
      </c>
      <c r="E517" s="155" t="s">
        <v>61</v>
      </c>
      <c r="F517" s="100">
        <f t="shared" si="330"/>
        <v>380609.58741668583</v>
      </c>
      <c r="G517" s="100">
        <f t="shared" si="331"/>
        <v>375339.18519225245</v>
      </c>
      <c r="H517" s="100">
        <f t="shared" si="332"/>
        <v>384089.67723625113</v>
      </c>
      <c r="I517" s="100">
        <f>+G517*K$509</f>
        <v>370795.76547886559</v>
      </c>
      <c r="J517" s="100">
        <f t="shared" si="333"/>
        <v>3923.8101795534621</v>
      </c>
      <c r="K517" s="100">
        <f t="shared" si="328"/>
        <v>3869.4761360026027</v>
      </c>
      <c r="L517" s="100">
        <f t="shared" si="334"/>
        <v>3959.6873941881558</v>
      </c>
      <c r="M517" s="100">
        <f t="shared" si="335"/>
        <v>3822.6367575140785</v>
      </c>
    </row>
    <row r="518" spans="2:13" x14ac:dyDescent="0.2">
      <c r="B518" s="153" t="s">
        <v>208</v>
      </c>
      <c r="C518" s="153" t="s">
        <v>227</v>
      </c>
      <c r="D518" s="153" t="s">
        <v>228</v>
      </c>
      <c r="E518" s="153"/>
      <c r="F518" s="153" t="s">
        <v>221</v>
      </c>
      <c r="G518" s="153" t="s">
        <v>228</v>
      </c>
      <c r="H518" s="153" t="str">
        <f>+F518</f>
        <v>Volume</v>
      </c>
      <c r="I518" s="153" t="str">
        <f>+G518</f>
        <v>%</v>
      </c>
      <c r="J518" s="153" t="str">
        <f t="shared" ref="J518" si="337">+H518</f>
        <v>Volume</v>
      </c>
      <c r="K518" s="153" t="str">
        <f t="shared" ref="K518" si="338">+I518</f>
        <v>%</v>
      </c>
      <c r="L518" s="153" t="str">
        <f t="shared" ref="L518" si="339">+J518</f>
        <v>Volume</v>
      </c>
      <c r="M518" s="153" t="str">
        <f t="shared" ref="M518" si="340">+K518</f>
        <v>%</v>
      </c>
    </row>
    <row r="519" spans="2:13" x14ac:dyDescent="0.2">
      <c r="B519" s="139" t="str">
        <f>+B512</f>
        <v>Residential</v>
      </c>
      <c r="C519" s="100">
        <f>+D512-C512</f>
        <v>306.41666666666788</v>
      </c>
      <c r="D519" s="101">
        <f>(D512-C512)/C512</f>
        <v>2.8078990775246004E-2</v>
      </c>
      <c r="E519" s="100" t="str">
        <f>+E512</f>
        <v>kWh</v>
      </c>
      <c r="F519" s="100">
        <f t="shared" ref="F519:F524" si="341">+G512-F512</f>
        <v>7830769.4473239779</v>
      </c>
      <c r="G519" s="101">
        <f t="shared" ref="G519:G524" si="342">(G512-F512)/F512</f>
        <v>9.3358300432910601E-2</v>
      </c>
      <c r="H519" s="100">
        <f t="shared" ref="H519:H524" si="343">+I512-H512</f>
        <v>5953700.2137302309</v>
      </c>
      <c r="I519" s="101">
        <f t="shared" ref="I519:I524" si="344">(I512-H512)/H512</f>
        <v>7.0336791019029954E-2</v>
      </c>
      <c r="J519" s="100">
        <f t="shared" ref="J519:J524" si="345">+K512-J512</f>
        <v>488.05602667198491</v>
      </c>
      <c r="K519" s="101">
        <f t="shared" ref="K519:K524" si="346">(K512-J512)/J512</f>
        <v>6.3496394969066838E-2</v>
      </c>
      <c r="L519" s="100">
        <f t="shared" ref="L519:L524" si="347">+M512-L512</f>
        <v>318.82614219146399</v>
      </c>
      <c r="M519" s="101">
        <f t="shared" ref="M519:M524" si="348">(M512-L512)/L512</f>
        <v>4.1103651200885334E-2</v>
      </c>
    </row>
    <row r="520" spans="2:13" x14ac:dyDescent="0.2">
      <c r="B520" s="139" t="str">
        <f t="shared" ref="B520:B524" si="349">+B513</f>
        <v>GS&lt;50 kW</v>
      </c>
      <c r="C520" s="100">
        <f t="shared" ref="C520:C524" si="350">+D513-C513</f>
        <v>11.333333333333258</v>
      </c>
      <c r="D520" s="101">
        <f t="shared" ref="D520:D524" si="351">(D513-C513)/C513</f>
        <v>9.9139816299751472E-3</v>
      </c>
      <c r="E520" s="100" t="str">
        <f t="shared" ref="E520:E524" si="352">+E513</f>
        <v>kWh</v>
      </c>
      <c r="F520" s="100">
        <f t="shared" si="341"/>
        <v>1372867.0203334764</v>
      </c>
      <c r="G520" s="101">
        <f t="shared" si="342"/>
        <v>3.9923913187763393E-2</v>
      </c>
      <c r="H520" s="100">
        <f t="shared" si="343"/>
        <v>625581.55981040001</v>
      </c>
      <c r="I520" s="101">
        <f t="shared" si="344"/>
        <v>1.8027506357822513E-2</v>
      </c>
      <c r="J520" s="100">
        <f t="shared" si="345"/>
        <v>893.85369023132807</v>
      </c>
      <c r="K520" s="101">
        <f t="shared" si="346"/>
        <v>2.9715334279611542E-2</v>
      </c>
      <c r="L520" s="100">
        <f t="shared" si="347"/>
        <v>243.87310516841535</v>
      </c>
      <c r="M520" s="101">
        <f t="shared" si="348"/>
        <v>8.0338770186668441E-3</v>
      </c>
    </row>
    <row r="521" spans="2:13" x14ac:dyDescent="0.2">
      <c r="B521" s="139" t="str">
        <f t="shared" si="349"/>
        <v>GS&gt;50 kW</v>
      </c>
      <c r="C521" s="100">
        <f t="shared" si="350"/>
        <v>1.5833333333333144</v>
      </c>
      <c r="D521" s="101">
        <f t="shared" si="351"/>
        <v>1.1786600496277774E-2</v>
      </c>
      <c r="E521" s="155" t="str">
        <f t="shared" si="352"/>
        <v>kW</v>
      </c>
      <c r="F521" s="100">
        <f t="shared" si="341"/>
        <v>2594.1837923625135</v>
      </c>
      <c r="G521" s="101">
        <f t="shared" si="342"/>
        <v>8.7270616982437869E-3</v>
      </c>
      <c r="H521" s="100">
        <f t="shared" si="343"/>
        <v>2594.1837923625135</v>
      </c>
      <c r="I521" s="101">
        <f t="shared" si="344"/>
        <v>8.7270616982437869E-3</v>
      </c>
      <c r="J521" s="100">
        <f t="shared" si="345"/>
        <v>-6.6913838713412588</v>
      </c>
      <c r="K521" s="101">
        <f t="shared" si="346"/>
        <v>-3.0238973282838612E-3</v>
      </c>
      <c r="L521" s="100">
        <f t="shared" si="347"/>
        <v>-6.6913838713412588</v>
      </c>
      <c r="M521" s="101">
        <f t="shared" si="348"/>
        <v>-3.0238973282838612E-3</v>
      </c>
    </row>
    <row r="522" spans="2:13" x14ac:dyDescent="0.2">
      <c r="B522" s="139" t="str">
        <f t="shared" si="349"/>
        <v>Street Lighting</v>
      </c>
      <c r="C522" s="100">
        <f t="shared" si="350"/>
        <v>23.25</v>
      </c>
      <c r="D522" s="101">
        <f t="shared" si="351"/>
        <v>8.082037020943773E-3</v>
      </c>
      <c r="E522" s="155" t="str">
        <f t="shared" si="352"/>
        <v>kW</v>
      </c>
      <c r="F522" s="100">
        <f t="shared" si="341"/>
        <v>18.729999999999563</v>
      </c>
      <c r="G522" s="101">
        <f t="shared" si="342"/>
        <v>7.7893020818602682E-3</v>
      </c>
      <c r="H522" s="100">
        <f t="shared" si="343"/>
        <v>18.729999999999563</v>
      </c>
      <c r="I522" s="101">
        <f t="shared" si="344"/>
        <v>7.7893020818602682E-3</v>
      </c>
      <c r="J522" s="100">
        <f t="shared" si="345"/>
        <v>-2.4272571717975922E-4</v>
      </c>
      <c r="K522" s="101">
        <f t="shared" si="346"/>
        <v>-2.9038801241666837E-4</v>
      </c>
      <c r="L522" s="100">
        <f t="shared" si="347"/>
        <v>-2.4272571717975922E-4</v>
      </c>
      <c r="M522" s="101">
        <f t="shared" si="348"/>
        <v>-2.9038801241666837E-4</v>
      </c>
    </row>
    <row r="523" spans="2:13" x14ac:dyDescent="0.2">
      <c r="B523" s="139" t="str">
        <f t="shared" si="349"/>
        <v>Sentinel Lights</v>
      </c>
      <c r="C523" s="100">
        <f t="shared" si="350"/>
        <v>2.8333333333333144</v>
      </c>
      <c r="D523" s="101">
        <f t="shared" si="351"/>
        <v>1.8784530386740203E-2</v>
      </c>
      <c r="E523" s="155" t="str">
        <f t="shared" si="352"/>
        <v>kW</v>
      </c>
      <c r="F523" s="100">
        <f t="shared" si="341"/>
        <v>-29.400000000000034</v>
      </c>
      <c r="G523" s="101">
        <f t="shared" si="342"/>
        <v>-9.4838709677419447E-2</v>
      </c>
      <c r="H523" s="100">
        <f t="shared" si="343"/>
        <v>-29.400000000000034</v>
      </c>
      <c r="I523" s="101">
        <f t="shared" si="344"/>
        <v>-9.4838709677419447E-2</v>
      </c>
      <c r="J523" s="100">
        <f t="shared" si="345"/>
        <v>-0.22921825002097274</v>
      </c>
      <c r="K523" s="101">
        <f t="shared" si="346"/>
        <v>-0.11152823455321523</v>
      </c>
      <c r="L523" s="100">
        <f t="shared" si="347"/>
        <v>-0.22921825002097274</v>
      </c>
      <c r="M523" s="101">
        <f t="shared" si="348"/>
        <v>-0.11152823455321523</v>
      </c>
    </row>
    <row r="524" spans="2:13" x14ac:dyDescent="0.2">
      <c r="B524" s="139" t="str">
        <f t="shared" si="349"/>
        <v>USL</v>
      </c>
      <c r="C524" s="100">
        <f t="shared" si="350"/>
        <v>0</v>
      </c>
      <c r="D524" s="101">
        <f t="shared" si="351"/>
        <v>0</v>
      </c>
      <c r="E524" s="155" t="str">
        <f t="shared" si="352"/>
        <v>kWh</v>
      </c>
      <c r="F524" s="100">
        <f t="shared" si="341"/>
        <v>-5270.4022244333755</v>
      </c>
      <c r="G524" s="101">
        <f t="shared" si="342"/>
        <v>-1.3847266066536091E-2</v>
      </c>
      <c r="H524" s="100">
        <f t="shared" si="343"/>
        <v>-13293.911757385533</v>
      </c>
      <c r="I524" s="101">
        <f t="shared" si="344"/>
        <v>-3.4611478894832501E-2</v>
      </c>
      <c r="J524" s="100">
        <f t="shared" si="345"/>
        <v>-54.334043550859406</v>
      </c>
      <c r="K524" s="101">
        <f t="shared" si="346"/>
        <v>-1.3847266066536057E-2</v>
      </c>
      <c r="L524" s="100">
        <f t="shared" si="347"/>
        <v>-137.0506366740774</v>
      </c>
      <c r="M524" s="101">
        <f t="shared" si="348"/>
        <v>-3.4611478894832431E-2</v>
      </c>
    </row>
    <row r="526" spans="2:13" x14ac:dyDescent="0.2">
      <c r="B526" s="47" t="str">
        <f>C529&amp;" vs "&amp;D529</f>
        <v>2018 Actual vs 2019 Actual</v>
      </c>
    </row>
    <row r="527" spans="2:13" x14ac:dyDescent="0.2">
      <c r="J527" s="156" t="s">
        <v>223</v>
      </c>
      <c r="K527" s="157">
        <f>+I428</f>
        <v>1.0005885809488893</v>
      </c>
    </row>
    <row r="528" spans="2:13" x14ac:dyDescent="0.2">
      <c r="B528" s="253" t="s">
        <v>207</v>
      </c>
      <c r="C528" s="251" t="s">
        <v>219</v>
      </c>
      <c r="D528" s="252"/>
      <c r="E528" s="253" t="s">
        <v>220</v>
      </c>
      <c r="F528" s="251" t="s">
        <v>221</v>
      </c>
      <c r="G528" s="252"/>
      <c r="H528" s="251" t="s">
        <v>225</v>
      </c>
      <c r="I528" s="252"/>
      <c r="J528" s="251" t="s">
        <v>222</v>
      </c>
      <c r="K528" s="252"/>
      <c r="L528" s="251" t="s">
        <v>224</v>
      </c>
      <c r="M528" s="252"/>
    </row>
    <row r="529" spans="2:13" x14ac:dyDescent="0.2">
      <c r="B529" s="253" t="s">
        <v>207</v>
      </c>
      <c r="C529" s="153" t="s">
        <v>233</v>
      </c>
      <c r="D529" s="153" t="s">
        <v>234</v>
      </c>
      <c r="E529" s="253" t="s">
        <v>214</v>
      </c>
      <c r="F529" s="153" t="str">
        <f>+C529</f>
        <v>2018 Actual</v>
      </c>
      <c r="G529" s="153" t="str">
        <f>+D529</f>
        <v>2019 Actual</v>
      </c>
      <c r="H529" s="153" t="str">
        <f>+F529</f>
        <v>2018 Actual</v>
      </c>
      <c r="I529" s="153" t="str">
        <f>+G529</f>
        <v>2019 Actual</v>
      </c>
      <c r="J529" s="153" t="str">
        <f t="shared" ref="J529" si="353">+H529</f>
        <v>2018 Actual</v>
      </c>
      <c r="K529" s="153" t="str">
        <f t="shared" ref="K529" si="354">+I529</f>
        <v>2019 Actual</v>
      </c>
      <c r="L529" s="153" t="str">
        <f t="shared" ref="L529" si="355">+J529</f>
        <v>2018 Actual</v>
      </c>
      <c r="M529" s="153" t="str">
        <f t="shared" ref="M529" si="356">+K529</f>
        <v>2019 Actual</v>
      </c>
    </row>
    <row r="530" spans="2:13" x14ac:dyDescent="0.2">
      <c r="B530" s="138" t="s">
        <v>100</v>
      </c>
      <c r="C530" s="57">
        <f>+D512</f>
        <v>11219.083333333334</v>
      </c>
      <c r="D530" s="57" cm="1">
        <f t="array" ref="D530:D535">TRANSPOSE(C57:H57)</f>
        <v>11336</v>
      </c>
      <c r="E530" s="100" t="s">
        <v>61</v>
      </c>
      <c r="F530" s="100">
        <f>+G512</f>
        <v>91709432.73716554</v>
      </c>
      <c r="G530" s="100">
        <f>+I422</f>
        <v>89180443.270875081</v>
      </c>
      <c r="H530" s="100">
        <f>+I512</f>
        <v>90599304.988611549</v>
      </c>
      <c r="I530" s="100">
        <f>+G530*K$527</f>
        <v>89232933.180797815</v>
      </c>
      <c r="J530" s="100">
        <f>+F530/C530</f>
        <v>8174.414077546342</v>
      </c>
      <c r="K530" s="100">
        <f t="shared" ref="K530:K535" si="357">+G530/D530</f>
        <v>7867.0115799995665</v>
      </c>
      <c r="L530" s="100">
        <f>+H530/C530</f>
        <v>8075.4641263274516</v>
      </c>
      <c r="M530" s="100">
        <f>+I530/D530</f>
        <v>7871.6419531402453</v>
      </c>
    </row>
    <row r="531" spans="2:13" x14ac:dyDescent="0.2">
      <c r="B531" s="138" t="s">
        <v>215</v>
      </c>
      <c r="C531" s="57">
        <f t="shared" ref="C531:C535" si="358">+D513</f>
        <v>1154.5</v>
      </c>
      <c r="D531" s="57">
        <v>1164.0833333333333</v>
      </c>
      <c r="E531" s="100" t="s">
        <v>61</v>
      </c>
      <c r="F531" s="100">
        <f t="shared" ref="F531:F535" si="359">+G513</f>
        <v>35759952.621808477</v>
      </c>
      <c r="G531" s="100">
        <f t="shared" ref="G531:G535" si="360">+I423</f>
        <v>34942744.746606827</v>
      </c>
      <c r="H531" s="100">
        <f t="shared" ref="H531:H535" si="361">+I513</f>
        <v>35327084.218770608</v>
      </c>
      <c r="I531" s="100">
        <f>+G531*K$527</f>
        <v>34963311.38046658</v>
      </c>
      <c r="J531" s="100">
        <f t="shared" ref="J531:J535" si="362">+F531/C531</f>
        <v>30974.406775061478</v>
      </c>
      <c r="K531" s="100">
        <f t="shared" si="357"/>
        <v>30017.391148921321</v>
      </c>
      <c r="L531" s="100">
        <f t="shared" ref="L531:L535" si="363">+H531/C531</f>
        <v>30599.466625180259</v>
      </c>
      <c r="M531" s="100">
        <f t="shared" ref="M531:M535" si="364">+I531/D531</f>
        <v>30035.058813486936</v>
      </c>
    </row>
    <row r="532" spans="2:13" x14ac:dyDescent="0.2">
      <c r="B532" s="138" t="s">
        <v>119</v>
      </c>
      <c r="C532" s="57">
        <f t="shared" si="358"/>
        <v>135.91666666666666</v>
      </c>
      <c r="D532" s="57">
        <v>132.25</v>
      </c>
      <c r="E532" s="155" t="s">
        <v>62</v>
      </c>
      <c r="F532" s="100">
        <f t="shared" si="359"/>
        <v>299851.59780658461</v>
      </c>
      <c r="G532" s="100">
        <f t="shared" si="360"/>
        <v>300898.82119152404</v>
      </c>
      <c r="H532" s="100">
        <f t="shared" si="361"/>
        <v>299851.59780658461</v>
      </c>
      <c r="I532" s="100">
        <f t="shared" ref="I532:I533" si="365">+G532</f>
        <v>300898.82119152404</v>
      </c>
      <c r="J532" s="100">
        <f t="shared" si="362"/>
        <v>2206.1429636290713</v>
      </c>
      <c r="K532" s="100">
        <f t="shared" si="357"/>
        <v>2275.2273814103896</v>
      </c>
      <c r="L532" s="100">
        <f t="shared" si="363"/>
        <v>2206.1429636290713</v>
      </c>
      <c r="M532" s="100">
        <f t="shared" si="364"/>
        <v>2275.2273814103896</v>
      </c>
    </row>
    <row r="533" spans="2:13" x14ac:dyDescent="0.2">
      <c r="B533" s="138" t="s">
        <v>114</v>
      </c>
      <c r="C533" s="57">
        <f t="shared" si="358"/>
        <v>2900</v>
      </c>
      <c r="D533" s="57">
        <v>2939</v>
      </c>
      <c r="E533" s="155" t="s">
        <v>62</v>
      </c>
      <c r="F533" s="100">
        <f t="shared" si="359"/>
        <v>2423.3099999999995</v>
      </c>
      <c r="G533" s="100">
        <f t="shared" si="360"/>
        <v>2459.6399999999994</v>
      </c>
      <c r="H533" s="100">
        <f t="shared" si="361"/>
        <v>2423.3099999999995</v>
      </c>
      <c r="I533" s="100">
        <f t="shared" si="365"/>
        <v>2459.6399999999994</v>
      </c>
      <c r="J533" s="100">
        <f t="shared" si="362"/>
        <v>0.83562413793103429</v>
      </c>
      <c r="K533" s="100">
        <f t="shared" si="357"/>
        <v>0.83689690370874426</v>
      </c>
      <c r="L533" s="100">
        <f t="shared" si="363"/>
        <v>0.83562413793103429</v>
      </c>
      <c r="M533" s="100">
        <f t="shared" si="364"/>
        <v>0.83689690370874426</v>
      </c>
    </row>
    <row r="534" spans="2:13" x14ac:dyDescent="0.2">
      <c r="B534" s="138" t="s">
        <v>68</v>
      </c>
      <c r="C534" s="57">
        <f t="shared" si="358"/>
        <v>153.66666666666666</v>
      </c>
      <c r="D534" s="57">
        <v>155.5</v>
      </c>
      <c r="E534" s="155" t="s">
        <v>62</v>
      </c>
      <c r="F534" s="100">
        <f t="shared" si="359"/>
        <v>280.60000000000002</v>
      </c>
      <c r="G534" s="100">
        <f t="shared" si="360"/>
        <v>283.8</v>
      </c>
      <c r="H534" s="100">
        <f t="shared" si="361"/>
        <v>280.60000000000002</v>
      </c>
      <c r="I534" s="100">
        <f>+G534</f>
        <v>283.8</v>
      </c>
      <c r="J534" s="100">
        <f t="shared" si="362"/>
        <v>1.8260303687635577</v>
      </c>
      <c r="K534" s="100">
        <f t="shared" si="357"/>
        <v>1.8250803858520901</v>
      </c>
      <c r="L534" s="100">
        <f t="shared" si="363"/>
        <v>1.8260303687635577</v>
      </c>
      <c r="M534" s="100">
        <f t="shared" si="364"/>
        <v>1.8250803858520901</v>
      </c>
    </row>
    <row r="535" spans="2:13" x14ac:dyDescent="0.2">
      <c r="B535" s="138" t="s">
        <v>168</v>
      </c>
      <c r="C535" s="57">
        <f t="shared" si="358"/>
        <v>97</v>
      </c>
      <c r="D535" s="57">
        <v>97</v>
      </c>
      <c r="E535" s="155" t="s">
        <v>61</v>
      </c>
      <c r="F535" s="100">
        <f t="shared" si="359"/>
        <v>375339.18519225245</v>
      </c>
      <c r="G535" s="100">
        <f t="shared" si="360"/>
        <v>375339.18519225245</v>
      </c>
      <c r="H535" s="100">
        <f t="shared" si="361"/>
        <v>370795.76547886559</v>
      </c>
      <c r="I535" s="100">
        <f>+G535*K$527</f>
        <v>375560.10268602823</v>
      </c>
      <c r="J535" s="100">
        <f t="shared" si="362"/>
        <v>3869.4761360026027</v>
      </c>
      <c r="K535" s="100">
        <f t="shared" si="357"/>
        <v>3869.4761360026027</v>
      </c>
      <c r="L535" s="100">
        <f t="shared" si="363"/>
        <v>3822.6367575140785</v>
      </c>
      <c r="M535" s="100">
        <f t="shared" si="364"/>
        <v>3871.7536359384353</v>
      </c>
    </row>
    <row r="536" spans="2:13" x14ac:dyDescent="0.2">
      <c r="B536" s="153" t="s">
        <v>208</v>
      </c>
      <c r="C536" s="153" t="s">
        <v>227</v>
      </c>
      <c r="D536" s="153" t="s">
        <v>228</v>
      </c>
      <c r="E536" s="153"/>
      <c r="F536" s="153" t="s">
        <v>221</v>
      </c>
      <c r="G536" s="153" t="s">
        <v>228</v>
      </c>
      <c r="H536" s="153" t="str">
        <f>+F536</f>
        <v>Volume</v>
      </c>
      <c r="I536" s="153" t="str">
        <f>+G536</f>
        <v>%</v>
      </c>
      <c r="J536" s="153" t="str">
        <f t="shared" ref="J536" si="366">+H536</f>
        <v>Volume</v>
      </c>
      <c r="K536" s="153" t="str">
        <f t="shared" ref="K536" si="367">+I536</f>
        <v>%</v>
      </c>
      <c r="L536" s="153" t="str">
        <f t="shared" ref="L536" si="368">+J536</f>
        <v>Volume</v>
      </c>
      <c r="M536" s="153" t="str">
        <f t="shared" ref="M536" si="369">+K536</f>
        <v>%</v>
      </c>
    </row>
    <row r="537" spans="2:13" x14ac:dyDescent="0.2">
      <c r="B537" s="139" t="str">
        <f>+B530</f>
        <v>Residential</v>
      </c>
      <c r="C537" s="100">
        <f>+D530-C530</f>
        <v>116.91666666666606</v>
      </c>
      <c r="D537" s="101">
        <f>(D530-C530)/C530</f>
        <v>1.0421231681138482E-2</v>
      </c>
      <c r="E537" s="100" t="str">
        <f>+E530</f>
        <v>kWh</v>
      </c>
      <c r="F537" s="100">
        <f t="shared" ref="F537:F542" si="370">+G530-F530</f>
        <v>-2528989.466290459</v>
      </c>
      <c r="G537" s="101">
        <f t="shared" ref="G537:G542" si="371">(G530-F530)/F530</f>
        <v>-2.7576110666155913E-2</v>
      </c>
      <c r="H537" s="100">
        <f t="shared" ref="H537:H542" si="372">+I530-H530</f>
        <v>-1366371.8078137338</v>
      </c>
      <c r="I537" s="101">
        <f t="shared" ref="I537:I542" si="373">(I530-H530)/H530</f>
        <v>-1.5081482225338136E-2</v>
      </c>
      <c r="J537" s="100">
        <f t="shared" ref="J537:J542" si="374">+K530-J530</f>
        <v>-307.40249754677552</v>
      </c>
      <c r="K537" s="101">
        <f t="shared" ref="K537:K542" si="375">(K530-J530)/J530</f>
        <v>-3.7605447268833053E-2</v>
      </c>
      <c r="L537" s="100">
        <f t="shared" ref="L537:L542" si="376">+M530-L530</f>
        <v>-203.82217318720632</v>
      </c>
      <c r="M537" s="101">
        <f t="shared" ref="M537:M542" si="377">(M530-L530)/L530</f>
        <v>-2.5239685298422628E-2</v>
      </c>
    </row>
    <row r="538" spans="2:13" x14ac:dyDescent="0.2">
      <c r="B538" s="139" t="str">
        <f t="shared" ref="B538:B542" si="378">+B531</f>
        <v>GS&lt;50 kW</v>
      </c>
      <c r="C538" s="100">
        <f t="shared" ref="C538:C542" si="379">+D531-C531</f>
        <v>9.5833333333332575</v>
      </c>
      <c r="D538" s="101">
        <f t="shared" ref="D538:D542" si="380">(D531-C531)/C531</f>
        <v>8.3008517395697333E-3</v>
      </c>
      <c r="E538" s="100" t="str">
        <f t="shared" ref="E538:E542" si="381">+E531</f>
        <v>kWh</v>
      </c>
      <c r="F538" s="100">
        <f t="shared" si="370"/>
        <v>-817207.87520164996</v>
      </c>
      <c r="G538" s="101">
        <f t="shared" si="371"/>
        <v>-2.2852599494308883E-2</v>
      </c>
      <c r="H538" s="100">
        <f t="shared" si="372"/>
        <v>-363772.83830402792</v>
      </c>
      <c r="I538" s="101">
        <f t="shared" si="373"/>
        <v>-1.0297278882437224E-2</v>
      </c>
      <c r="J538" s="100">
        <f t="shared" si="374"/>
        <v>-957.01562614015711</v>
      </c>
      <c r="K538" s="101">
        <f t="shared" si="375"/>
        <v>-3.0896979983832399E-2</v>
      </c>
      <c r="L538" s="100">
        <f t="shared" si="376"/>
        <v>-564.40781169332331</v>
      </c>
      <c r="M538" s="101">
        <f t="shared" si="377"/>
        <v>-1.8445021235398689E-2</v>
      </c>
    </row>
    <row r="539" spans="2:13" x14ac:dyDescent="0.2">
      <c r="B539" s="139" t="str">
        <f t="shared" si="378"/>
        <v>GS&gt;50 kW</v>
      </c>
      <c r="C539" s="100">
        <f t="shared" si="379"/>
        <v>-3.6666666666666572</v>
      </c>
      <c r="D539" s="101">
        <f t="shared" si="380"/>
        <v>-2.6977314530962533E-2</v>
      </c>
      <c r="E539" s="155" t="str">
        <f t="shared" si="381"/>
        <v>kW</v>
      </c>
      <c r="F539" s="100">
        <f t="shared" si="370"/>
        <v>1047.2233849394252</v>
      </c>
      <c r="G539" s="101">
        <f t="shared" si="371"/>
        <v>3.4924722516066864E-3</v>
      </c>
      <c r="H539" s="100">
        <f t="shared" si="372"/>
        <v>1047.2233849394252</v>
      </c>
      <c r="I539" s="101">
        <f t="shared" si="373"/>
        <v>3.4924722516066864E-3</v>
      </c>
      <c r="J539" s="100">
        <f t="shared" si="374"/>
        <v>69.08441778131828</v>
      </c>
      <c r="K539" s="101">
        <f t="shared" si="375"/>
        <v>3.1314569780951762E-2</v>
      </c>
      <c r="L539" s="100">
        <f t="shared" si="376"/>
        <v>69.08441778131828</v>
      </c>
      <c r="M539" s="101">
        <f t="shared" si="377"/>
        <v>3.1314569780951762E-2</v>
      </c>
    </row>
    <row r="540" spans="2:13" x14ac:dyDescent="0.2">
      <c r="B540" s="139" t="str">
        <f t="shared" si="378"/>
        <v>Street Lighting</v>
      </c>
      <c r="C540" s="100">
        <f t="shared" si="379"/>
        <v>39</v>
      </c>
      <c r="D540" s="101">
        <f t="shared" si="380"/>
        <v>1.3448275862068966E-2</v>
      </c>
      <c r="E540" s="155" t="str">
        <f t="shared" si="381"/>
        <v>kW</v>
      </c>
      <c r="F540" s="100">
        <f t="shared" si="370"/>
        <v>36.329999999999927</v>
      </c>
      <c r="G540" s="101">
        <f t="shared" si="371"/>
        <v>1.4991891256174379E-2</v>
      </c>
      <c r="H540" s="100">
        <f t="shared" si="372"/>
        <v>36.329999999999927</v>
      </c>
      <c r="I540" s="101">
        <f t="shared" si="373"/>
        <v>1.4991891256174379E-2</v>
      </c>
      <c r="J540" s="100">
        <f t="shared" si="374"/>
        <v>1.272765777709961E-3</v>
      </c>
      <c r="K540" s="101">
        <f t="shared" si="375"/>
        <v>1.5231318961911138E-3</v>
      </c>
      <c r="L540" s="100">
        <f t="shared" si="376"/>
        <v>1.272765777709961E-3</v>
      </c>
      <c r="M540" s="101">
        <f t="shared" si="377"/>
        <v>1.5231318961911138E-3</v>
      </c>
    </row>
    <row r="541" spans="2:13" x14ac:dyDescent="0.2">
      <c r="B541" s="139" t="str">
        <f t="shared" si="378"/>
        <v>Sentinel Lights</v>
      </c>
      <c r="C541" s="100">
        <f t="shared" si="379"/>
        <v>1.8333333333333428</v>
      </c>
      <c r="D541" s="101">
        <f t="shared" si="380"/>
        <v>1.1930585683297242E-2</v>
      </c>
      <c r="E541" s="155" t="str">
        <f t="shared" si="381"/>
        <v>kW</v>
      </c>
      <c r="F541" s="100">
        <f t="shared" si="370"/>
        <v>3.1999999999999886</v>
      </c>
      <c r="G541" s="101">
        <f t="shared" si="371"/>
        <v>1.1404133998574442E-2</v>
      </c>
      <c r="H541" s="100">
        <f t="shared" si="372"/>
        <v>3.1999999999999886</v>
      </c>
      <c r="I541" s="101">
        <f t="shared" si="373"/>
        <v>1.1404133998574442E-2</v>
      </c>
      <c r="J541" s="100">
        <f t="shared" si="374"/>
        <v>-9.4998291146763947E-4</v>
      </c>
      <c r="K541" s="101">
        <f t="shared" si="375"/>
        <v>-5.2024485885790179E-4</v>
      </c>
      <c r="L541" s="100">
        <f t="shared" si="376"/>
        <v>-9.4998291146763947E-4</v>
      </c>
      <c r="M541" s="101">
        <f t="shared" si="377"/>
        <v>-5.2024485885790179E-4</v>
      </c>
    </row>
    <row r="542" spans="2:13" x14ac:dyDescent="0.2">
      <c r="B542" s="139" t="str">
        <f t="shared" si="378"/>
        <v>USL</v>
      </c>
      <c r="C542" s="100">
        <f t="shared" si="379"/>
        <v>0</v>
      </c>
      <c r="D542" s="101">
        <f t="shared" si="380"/>
        <v>0</v>
      </c>
      <c r="E542" s="155" t="str">
        <f t="shared" si="381"/>
        <v>kWh</v>
      </c>
      <c r="F542" s="100">
        <f t="shared" si="370"/>
        <v>0</v>
      </c>
      <c r="G542" s="101">
        <f t="shared" si="371"/>
        <v>0</v>
      </c>
      <c r="H542" s="100">
        <f t="shared" si="372"/>
        <v>4764.3372071626363</v>
      </c>
      <c r="I542" s="101">
        <f t="shared" si="373"/>
        <v>1.2848952579082759E-2</v>
      </c>
      <c r="J542" s="100">
        <f t="shared" si="374"/>
        <v>0</v>
      </c>
      <c r="K542" s="101">
        <f t="shared" si="375"/>
        <v>0</v>
      </c>
      <c r="L542" s="100">
        <f t="shared" si="376"/>
        <v>49.116878424356855</v>
      </c>
      <c r="M542" s="101">
        <f t="shared" si="377"/>
        <v>1.2848952579082702E-2</v>
      </c>
    </row>
    <row r="544" spans="2:13" x14ac:dyDescent="0.2">
      <c r="B544" s="47" t="str">
        <f>C547&amp;" vs "&amp;D547</f>
        <v>2019 Actual vs 2020 Actual</v>
      </c>
    </row>
    <row r="545" spans="2:13" x14ac:dyDescent="0.2">
      <c r="J545" s="156" t="s">
        <v>223</v>
      </c>
      <c r="K545" s="157">
        <f>+J428</f>
        <v>0.99530160039116189</v>
      </c>
    </row>
    <row r="546" spans="2:13" x14ac:dyDescent="0.2">
      <c r="B546" s="253" t="s">
        <v>207</v>
      </c>
      <c r="C546" s="251" t="s">
        <v>219</v>
      </c>
      <c r="D546" s="252"/>
      <c r="E546" s="253" t="s">
        <v>220</v>
      </c>
      <c r="F546" s="251" t="s">
        <v>221</v>
      </c>
      <c r="G546" s="252"/>
      <c r="H546" s="251" t="s">
        <v>225</v>
      </c>
      <c r="I546" s="252"/>
      <c r="J546" s="251" t="s">
        <v>222</v>
      </c>
      <c r="K546" s="252"/>
      <c r="L546" s="251" t="s">
        <v>224</v>
      </c>
      <c r="M546" s="252"/>
    </row>
    <row r="547" spans="2:13" x14ac:dyDescent="0.2">
      <c r="B547" s="253" t="s">
        <v>207</v>
      </c>
      <c r="C547" s="153" t="s">
        <v>234</v>
      </c>
      <c r="D547" s="153" t="s">
        <v>152</v>
      </c>
      <c r="E547" s="253" t="s">
        <v>214</v>
      </c>
      <c r="F547" s="153" t="str">
        <f>+C547</f>
        <v>2019 Actual</v>
      </c>
      <c r="G547" s="153" t="str">
        <f>+D547</f>
        <v>2020 Actual</v>
      </c>
      <c r="H547" s="153" t="str">
        <f>+F547</f>
        <v>2019 Actual</v>
      </c>
      <c r="I547" s="153" t="str">
        <f>+G547</f>
        <v>2020 Actual</v>
      </c>
      <c r="J547" s="153" t="str">
        <f t="shared" ref="J547" si="382">+H547</f>
        <v>2019 Actual</v>
      </c>
      <c r="K547" s="153" t="str">
        <f t="shared" ref="K547" si="383">+I547</f>
        <v>2020 Actual</v>
      </c>
      <c r="L547" s="153" t="str">
        <f t="shared" ref="L547" si="384">+J547</f>
        <v>2019 Actual</v>
      </c>
      <c r="M547" s="153" t="str">
        <f t="shared" ref="M547" si="385">+K547</f>
        <v>2020 Actual</v>
      </c>
    </row>
    <row r="548" spans="2:13" x14ac:dyDescent="0.2">
      <c r="B548" s="138" t="s">
        <v>100</v>
      </c>
      <c r="C548" s="57">
        <f>+D530</f>
        <v>11336</v>
      </c>
      <c r="D548" s="57" cm="1">
        <f t="array" ref="D548:D553">TRANSPOSE(C58:H58)</f>
        <v>11381.916666666666</v>
      </c>
      <c r="E548" s="100" t="s">
        <v>61</v>
      </c>
      <c r="F548" s="100">
        <f>+G530</f>
        <v>89180443.270875081</v>
      </c>
      <c r="G548" s="100">
        <f>+J422</f>
        <v>95587067.984431669</v>
      </c>
      <c r="H548" s="100">
        <f>+I530</f>
        <v>89232933.180797815</v>
      </c>
      <c r="I548" s="100">
        <f>+G548*K$545</f>
        <v>95137961.741603628</v>
      </c>
      <c r="J548" s="100">
        <f>+F548/C548</f>
        <v>7867.0115799995665</v>
      </c>
      <c r="K548" s="100">
        <f t="shared" ref="K548:K553" si="386">+G548/D548</f>
        <v>8398.1521551963287</v>
      </c>
      <c r="L548" s="100">
        <f>+H548/C548</f>
        <v>7871.6419531402453</v>
      </c>
      <c r="M548" s="100">
        <f>+I548/D548</f>
        <v>8358.6942803953898</v>
      </c>
    </row>
    <row r="549" spans="2:13" x14ac:dyDescent="0.2">
      <c r="B549" s="138" t="s">
        <v>215</v>
      </c>
      <c r="C549" s="57">
        <f t="shared" ref="C549:C553" si="387">+D531</f>
        <v>1164.0833333333333</v>
      </c>
      <c r="D549" s="57">
        <v>1163.8333333333333</v>
      </c>
      <c r="E549" s="100" t="s">
        <v>61</v>
      </c>
      <c r="F549" s="100">
        <f t="shared" ref="F549:F553" si="388">+G531</f>
        <v>34942744.746606827</v>
      </c>
      <c r="G549" s="100">
        <f t="shared" ref="G549:G553" si="389">+J423</f>
        <v>33629605.964253612</v>
      </c>
      <c r="H549" s="100">
        <f t="shared" ref="H549:H553" si="390">+I531</f>
        <v>34963311.38046658</v>
      </c>
      <c r="I549" s="100">
        <f>+G549*K$545</f>
        <v>33471600.636745784</v>
      </c>
      <c r="J549" s="100">
        <f t="shared" ref="J549:J553" si="391">+F549/C549</f>
        <v>30017.391148921321</v>
      </c>
      <c r="K549" s="100">
        <f t="shared" si="386"/>
        <v>28895.551451456635</v>
      </c>
      <c r="L549" s="100">
        <f t="shared" ref="L549:L553" si="392">+H549/C549</f>
        <v>30035.058813486936</v>
      </c>
      <c r="M549" s="100">
        <f t="shared" ref="M549:M553" si="393">+I549/D549</f>
        <v>28759.78860381995</v>
      </c>
    </row>
    <row r="550" spans="2:13" x14ac:dyDescent="0.2">
      <c r="B550" s="138" t="s">
        <v>119</v>
      </c>
      <c r="C550" s="57">
        <f t="shared" si="387"/>
        <v>132.25</v>
      </c>
      <c r="D550" s="57">
        <v>122.08333333333333</v>
      </c>
      <c r="E550" s="155" t="s">
        <v>62</v>
      </c>
      <c r="F550" s="100">
        <f t="shared" si="388"/>
        <v>300898.82119152404</v>
      </c>
      <c r="G550" s="100">
        <f t="shared" si="389"/>
        <v>281171.19930808013</v>
      </c>
      <c r="H550" s="100">
        <f t="shared" si="390"/>
        <v>300898.82119152404</v>
      </c>
      <c r="I550" s="100">
        <f t="shared" ref="I550:I551" si="394">+G550</f>
        <v>281171.19930808013</v>
      </c>
      <c r="J550" s="100">
        <f t="shared" si="391"/>
        <v>2275.2273814103896</v>
      </c>
      <c r="K550" s="100">
        <f t="shared" si="386"/>
        <v>2303.1087997931481</v>
      </c>
      <c r="L550" s="100">
        <f t="shared" si="392"/>
        <v>2275.2273814103896</v>
      </c>
      <c r="M550" s="100">
        <f t="shared" si="393"/>
        <v>2303.1087997931481</v>
      </c>
    </row>
    <row r="551" spans="2:13" x14ac:dyDescent="0.2">
      <c r="B551" s="138" t="s">
        <v>114</v>
      </c>
      <c r="C551" s="57">
        <f t="shared" si="387"/>
        <v>2939</v>
      </c>
      <c r="D551" s="57">
        <v>2944.1666666666665</v>
      </c>
      <c r="E551" s="155" t="s">
        <v>62</v>
      </c>
      <c r="F551" s="100">
        <f t="shared" si="388"/>
        <v>2459.6399999999994</v>
      </c>
      <c r="G551" s="100">
        <f t="shared" si="389"/>
        <v>2445.92</v>
      </c>
      <c r="H551" s="100">
        <f t="shared" si="390"/>
        <v>2459.6399999999994</v>
      </c>
      <c r="I551" s="100">
        <f t="shared" si="394"/>
        <v>2445.92</v>
      </c>
      <c r="J551" s="100">
        <f t="shared" si="391"/>
        <v>0.83689690370874426</v>
      </c>
      <c r="K551" s="100">
        <f t="shared" si="386"/>
        <v>0.83076818567789423</v>
      </c>
      <c r="L551" s="100">
        <f t="shared" si="392"/>
        <v>0.83689690370874426</v>
      </c>
      <c r="M551" s="100">
        <f t="shared" si="393"/>
        <v>0.83076818567789423</v>
      </c>
    </row>
    <row r="552" spans="2:13" x14ac:dyDescent="0.2">
      <c r="B552" s="138" t="s">
        <v>68</v>
      </c>
      <c r="C552" s="57">
        <f t="shared" si="387"/>
        <v>155.5</v>
      </c>
      <c r="D552" s="57">
        <v>157.66666666666666</v>
      </c>
      <c r="E552" s="155" t="s">
        <v>62</v>
      </c>
      <c r="F552" s="100">
        <f t="shared" si="388"/>
        <v>283.8</v>
      </c>
      <c r="G552" s="100">
        <f t="shared" si="389"/>
        <v>282.2</v>
      </c>
      <c r="H552" s="100">
        <f t="shared" si="390"/>
        <v>283.8</v>
      </c>
      <c r="I552" s="100">
        <f>+G552</f>
        <v>282.2</v>
      </c>
      <c r="J552" s="100">
        <f t="shared" si="391"/>
        <v>1.8250803858520901</v>
      </c>
      <c r="K552" s="100">
        <f t="shared" si="386"/>
        <v>1.7898520084566596</v>
      </c>
      <c r="L552" s="100">
        <f t="shared" si="392"/>
        <v>1.8250803858520901</v>
      </c>
      <c r="M552" s="100">
        <f t="shared" si="393"/>
        <v>1.7898520084566596</v>
      </c>
    </row>
    <row r="553" spans="2:13" x14ac:dyDescent="0.2">
      <c r="B553" s="138" t="s">
        <v>168</v>
      </c>
      <c r="C553" s="57">
        <f t="shared" si="387"/>
        <v>97</v>
      </c>
      <c r="D553" s="57">
        <v>97</v>
      </c>
      <c r="E553" s="155" t="s">
        <v>61</v>
      </c>
      <c r="F553" s="100">
        <f t="shared" si="388"/>
        <v>375339.18519225245</v>
      </c>
      <c r="G553" s="100">
        <f t="shared" si="389"/>
        <v>375339.18519225245</v>
      </c>
      <c r="H553" s="100">
        <f t="shared" si="390"/>
        <v>375560.10268602823</v>
      </c>
      <c r="I553" s="100">
        <f>+G553*K$545</f>
        <v>373575.69171136356</v>
      </c>
      <c r="J553" s="100">
        <f t="shared" si="391"/>
        <v>3869.4761360026027</v>
      </c>
      <c r="K553" s="100">
        <f t="shared" si="386"/>
        <v>3869.4761360026027</v>
      </c>
      <c r="L553" s="100">
        <f t="shared" si="392"/>
        <v>3871.7536359384353</v>
      </c>
      <c r="M553" s="100">
        <f t="shared" si="393"/>
        <v>3851.2957908387993</v>
      </c>
    </row>
    <row r="554" spans="2:13" x14ac:dyDescent="0.2">
      <c r="B554" s="153" t="s">
        <v>208</v>
      </c>
      <c r="C554" s="153" t="s">
        <v>227</v>
      </c>
      <c r="D554" s="153" t="s">
        <v>228</v>
      </c>
      <c r="E554" s="153"/>
      <c r="F554" s="153" t="s">
        <v>221</v>
      </c>
      <c r="G554" s="153" t="s">
        <v>228</v>
      </c>
      <c r="H554" s="153" t="str">
        <f>+F554</f>
        <v>Volume</v>
      </c>
      <c r="I554" s="153" t="str">
        <f>+G554</f>
        <v>%</v>
      </c>
      <c r="J554" s="153" t="str">
        <f t="shared" ref="J554" si="395">+H554</f>
        <v>Volume</v>
      </c>
      <c r="K554" s="153" t="str">
        <f t="shared" ref="K554" si="396">+I554</f>
        <v>%</v>
      </c>
      <c r="L554" s="153" t="str">
        <f t="shared" ref="L554" si="397">+J554</f>
        <v>Volume</v>
      </c>
      <c r="M554" s="153" t="str">
        <f t="shared" ref="M554" si="398">+K554</f>
        <v>%</v>
      </c>
    </row>
    <row r="555" spans="2:13" x14ac:dyDescent="0.2">
      <c r="B555" s="139" t="str">
        <f>+B548</f>
        <v>Residential</v>
      </c>
      <c r="C555" s="100">
        <f>+D548-C548</f>
        <v>45.91666666666606</v>
      </c>
      <c r="D555" s="101">
        <f>(D548-C548)/C548</f>
        <v>4.0505175252881142E-3</v>
      </c>
      <c r="E555" s="100" t="str">
        <f>+E548</f>
        <v>kWh</v>
      </c>
      <c r="F555" s="100">
        <f t="shared" ref="F555:F560" si="399">+G548-F548</f>
        <v>6406624.7135565877</v>
      </c>
      <c r="G555" s="101">
        <f t="shared" ref="G555:G560" si="400">(G548-F548)/F548</f>
        <v>7.1838897392528314E-2</v>
      </c>
      <c r="H555" s="100">
        <f t="shared" ref="H555:H560" si="401">+I548-H548</f>
        <v>5905028.5608058125</v>
      </c>
      <c r="I555" s="101">
        <f t="shared" ref="I555:I560" si="402">(I548-H548)/H548</f>
        <v>6.6175439384486417E-2</v>
      </c>
      <c r="J555" s="100">
        <f t="shared" ref="J555:J560" si="403">+K548-J548</f>
        <v>531.14057519676226</v>
      </c>
      <c r="K555" s="101">
        <f t="shared" ref="K555:K560" si="404">(K548-J548)/J548</f>
        <v>6.7514909542918389E-2</v>
      </c>
      <c r="L555" s="100">
        <f t="shared" ref="L555:L560" si="405">+M548-L548</f>
        <v>487.05232725514452</v>
      </c>
      <c r="M555" s="101">
        <f t="shared" ref="M555:M560" si="406">(M548-L548)/L548</f>
        <v>6.1874298927029329E-2</v>
      </c>
    </row>
    <row r="556" spans="2:13" x14ac:dyDescent="0.2">
      <c r="B556" s="139" t="str">
        <f t="shared" ref="B556:B560" si="407">+B549</f>
        <v>GS&lt;50 kW</v>
      </c>
      <c r="C556" s="100">
        <f t="shared" ref="C556:C560" si="408">+D549-C549</f>
        <v>-0.25</v>
      </c>
      <c r="D556" s="101">
        <f t="shared" ref="D556:D560" si="409">(D549-C549)/C549</f>
        <v>-2.1476125706922474E-4</v>
      </c>
      <c r="E556" s="100" t="str">
        <f t="shared" ref="E556:E560" si="410">+E549</f>
        <v>kWh</v>
      </c>
      <c r="F556" s="100">
        <f t="shared" si="399"/>
        <v>-1313138.7823532149</v>
      </c>
      <c r="G556" s="101">
        <f t="shared" si="400"/>
        <v>-3.7579726260076621E-2</v>
      </c>
      <c r="H556" s="100">
        <f t="shared" si="401"/>
        <v>-1491710.743720796</v>
      </c>
      <c r="I556" s="101">
        <f t="shared" si="402"/>
        <v>-4.2665030422552881E-2</v>
      </c>
      <c r="J556" s="100">
        <f t="shared" si="403"/>
        <v>-1121.8396974646857</v>
      </c>
      <c r="K556" s="101">
        <f t="shared" si="404"/>
        <v>-3.7372991273593718E-2</v>
      </c>
      <c r="L556" s="100">
        <f t="shared" si="405"/>
        <v>-1275.2702096669855</v>
      </c>
      <c r="M556" s="101">
        <f t="shared" si="406"/>
        <v>-4.2459387796981385E-2</v>
      </c>
    </row>
    <row r="557" spans="2:13" x14ac:dyDescent="0.2">
      <c r="B557" s="139" t="str">
        <f t="shared" si="407"/>
        <v>GS&gt;50 kW</v>
      </c>
      <c r="C557" s="100">
        <f t="shared" si="408"/>
        <v>-10.166666666666671</v>
      </c>
      <c r="D557" s="101">
        <f t="shared" si="409"/>
        <v>-7.6874606175173318E-2</v>
      </c>
      <c r="E557" s="155" t="str">
        <f t="shared" si="410"/>
        <v>kW</v>
      </c>
      <c r="F557" s="100">
        <f t="shared" si="399"/>
        <v>-19727.621883443906</v>
      </c>
      <c r="G557" s="101">
        <f t="shared" si="400"/>
        <v>-6.5562310298607471E-2</v>
      </c>
      <c r="H557" s="100">
        <f t="shared" si="401"/>
        <v>-19727.621883443906</v>
      </c>
      <c r="I557" s="101">
        <f t="shared" si="402"/>
        <v>-6.5562310298607471E-2</v>
      </c>
      <c r="J557" s="100">
        <f t="shared" si="403"/>
        <v>27.881418382758511</v>
      </c>
      <c r="K557" s="101">
        <f t="shared" si="404"/>
        <v>1.2254343724307287E-2</v>
      </c>
      <c r="L557" s="100">
        <f t="shared" si="405"/>
        <v>27.881418382758511</v>
      </c>
      <c r="M557" s="101">
        <f t="shared" si="406"/>
        <v>1.2254343724307287E-2</v>
      </c>
    </row>
    <row r="558" spans="2:13" x14ac:dyDescent="0.2">
      <c r="B558" s="139" t="str">
        <f t="shared" si="407"/>
        <v>Street Lighting</v>
      </c>
      <c r="C558" s="100">
        <f t="shared" si="408"/>
        <v>5.1666666666665151</v>
      </c>
      <c r="D558" s="101">
        <f t="shared" si="409"/>
        <v>1.7579675626629857E-3</v>
      </c>
      <c r="E558" s="155" t="str">
        <f t="shared" si="410"/>
        <v>kW</v>
      </c>
      <c r="F558" s="100">
        <f t="shared" si="399"/>
        <v>-13.719999999999345</v>
      </c>
      <c r="G558" s="101">
        <f t="shared" si="400"/>
        <v>-5.578052072660775E-3</v>
      </c>
      <c r="H558" s="100">
        <f t="shared" si="401"/>
        <v>-13.719999999999345</v>
      </c>
      <c r="I558" s="101">
        <f t="shared" si="402"/>
        <v>-5.578052072660775E-3</v>
      </c>
      <c r="J558" s="100">
        <f t="shared" si="403"/>
        <v>-6.1287180308500222E-3</v>
      </c>
      <c r="K558" s="101">
        <f t="shared" si="404"/>
        <v>-7.3231457825812798E-3</v>
      </c>
      <c r="L558" s="100">
        <f t="shared" si="405"/>
        <v>-6.1287180308500222E-3</v>
      </c>
      <c r="M558" s="101">
        <f t="shared" si="406"/>
        <v>-7.3231457825812798E-3</v>
      </c>
    </row>
    <row r="559" spans="2:13" x14ac:dyDescent="0.2">
      <c r="B559" s="139" t="str">
        <f t="shared" si="407"/>
        <v>Sentinel Lights</v>
      </c>
      <c r="C559" s="100">
        <f t="shared" si="408"/>
        <v>2.1666666666666572</v>
      </c>
      <c r="D559" s="101">
        <f t="shared" si="409"/>
        <v>1.3933547695605512E-2</v>
      </c>
      <c r="E559" s="155" t="str">
        <f t="shared" si="410"/>
        <v>kW</v>
      </c>
      <c r="F559" s="100">
        <f t="shared" si="399"/>
        <v>-1.6000000000000227</v>
      </c>
      <c r="G559" s="101">
        <f t="shared" si="400"/>
        <v>-5.6377730796336248E-3</v>
      </c>
      <c r="H559" s="100">
        <f t="shared" si="401"/>
        <v>-1.6000000000000227</v>
      </c>
      <c r="I559" s="101">
        <f t="shared" si="402"/>
        <v>-5.6377730796336248E-3</v>
      </c>
      <c r="J559" s="100">
        <f t="shared" si="403"/>
        <v>-3.5228377395430499E-2</v>
      </c>
      <c r="K559" s="101">
        <f t="shared" si="404"/>
        <v>-1.9302370278327846E-2</v>
      </c>
      <c r="L559" s="100">
        <f t="shared" si="405"/>
        <v>-3.5228377395430499E-2</v>
      </c>
      <c r="M559" s="101">
        <f t="shared" si="406"/>
        <v>-1.9302370278327846E-2</v>
      </c>
    </row>
    <row r="560" spans="2:13" x14ac:dyDescent="0.2">
      <c r="B560" s="139" t="str">
        <f t="shared" si="407"/>
        <v>USL</v>
      </c>
      <c r="C560" s="100">
        <f t="shared" si="408"/>
        <v>0</v>
      </c>
      <c r="D560" s="101">
        <f t="shared" si="409"/>
        <v>0</v>
      </c>
      <c r="E560" s="155" t="str">
        <f t="shared" si="410"/>
        <v>kWh</v>
      </c>
      <c r="F560" s="100">
        <f t="shared" si="399"/>
        <v>0</v>
      </c>
      <c r="G560" s="101">
        <f t="shared" si="400"/>
        <v>0</v>
      </c>
      <c r="H560" s="100">
        <f t="shared" si="401"/>
        <v>-1984.4109746646718</v>
      </c>
      <c r="I560" s="101">
        <f t="shared" si="402"/>
        <v>-5.2838705721721937E-3</v>
      </c>
      <c r="J560" s="100">
        <f t="shared" si="403"/>
        <v>0</v>
      </c>
      <c r="K560" s="101">
        <f t="shared" si="404"/>
        <v>0</v>
      </c>
      <c r="L560" s="100">
        <f t="shared" si="405"/>
        <v>-20.457845099635961</v>
      </c>
      <c r="M560" s="101">
        <f t="shared" si="406"/>
        <v>-5.2838705721722371E-3</v>
      </c>
    </row>
    <row r="562" spans="2:13" x14ac:dyDescent="0.2">
      <c r="B562" s="47" t="str">
        <f>C565&amp;" vs "&amp;D565</f>
        <v>2020 Actual vs 2021 Actual</v>
      </c>
    </row>
    <row r="563" spans="2:13" x14ac:dyDescent="0.2">
      <c r="J563" s="156" t="s">
        <v>223</v>
      </c>
      <c r="K563" s="180">
        <f>+K428</f>
        <v>1.002214003539815</v>
      </c>
    </row>
    <row r="564" spans="2:13" x14ac:dyDescent="0.2">
      <c r="B564" s="253" t="s">
        <v>207</v>
      </c>
      <c r="C564" s="251" t="s">
        <v>219</v>
      </c>
      <c r="D564" s="252"/>
      <c r="E564" s="253" t="s">
        <v>220</v>
      </c>
      <c r="F564" s="251" t="s">
        <v>221</v>
      </c>
      <c r="G564" s="252"/>
      <c r="H564" s="251" t="s">
        <v>225</v>
      </c>
      <c r="I564" s="252"/>
      <c r="J564" s="251" t="s">
        <v>222</v>
      </c>
      <c r="K564" s="252"/>
      <c r="L564" s="251" t="s">
        <v>224</v>
      </c>
      <c r="M564" s="252"/>
    </row>
    <row r="565" spans="2:13" x14ac:dyDescent="0.2">
      <c r="B565" s="253" t="s">
        <v>207</v>
      </c>
      <c r="C565" s="153" t="s">
        <v>152</v>
      </c>
      <c r="D565" s="153" t="s">
        <v>153</v>
      </c>
      <c r="E565" s="253" t="s">
        <v>214</v>
      </c>
      <c r="F565" s="153" t="str">
        <f>+C565</f>
        <v>2020 Actual</v>
      </c>
      <c r="G565" s="153" t="str">
        <f>+D565</f>
        <v>2021 Actual</v>
      </c>
      <c r="H565" s="153" t="str">
        <f>+F565</f>
        <v>2020 Actual</v>
      </c>
      <c r="I565" s="153" t="str">
        <f>+G565</f>
        <v>2021 Actual</v>
      </c>
      <c r="J565" s="153" t="str">
        <f t="shared" ref="J565" si="411">+H565</f>
        <v>2020 Actual</v>
      </c>
      <c r="K565" s="153" t="str">
        <f t="shared" ref="K565" si="412">+I565</f>
        <v>2021 Actual</v>
      </c>
      <c r="L565" s="153" t="str">
        <f t="shared" ref="L565" si="413">+J565</f>
        <v>2020 Actual</v>
      </c>
      <c r="M565" s="153" t="str">
        <f t="shared" ref="M565" si="414">+K565</f>
        <v>2021 Actual</v>
      </c>
    </row>
    <row r="566" spans="2:13" x14ac:dyDescent="0.2">
      <c r="B566" s="138" t="s">
        <v>100</v>
      </c>
      <c r="C566" s="57">
        <f>+D548</f>
        <v>11381.916666666666</v>
      </c>
      <c r="D566" s="57" cm="1">
        <f t="array" ref="D566:D571">TRANSPOSE(C59:H59)</f>
        <v>11468.75</v>
      </c>
      <c r="E566" s="100" t="s">
        <v>61</v>
      </c>
      <c r="F566" s="100">
        <f>+G548</f>
        <v>95587067.984431669</v>
      </c>
      <c r="G566" s="100">
        <f>+K422</f>
        <v>95087325.556198344</v>
      </c>
      <c r="H566" s="100">
        <f>+I548</f>
        <v>95137961.741603628</v>
      </c>
      <c r="I566" s="100">
        <f>+G566*K$563</f>
        <v>95297849.231571317</v>
      </c>
      <c r="J566" s="100">
        <f>+F566/C566</f>
        <v>8398.1521551963287</v>
      </c>
      <c r="K566" s="100">
        <f t="shared" ref="K566:K571" si="415">+G566/D566</f>
        <v>8290.9929640281935</v>
      </c>
      <c r="L566" s="100">
        <f>+H566/C566</f>
        <v>8358.6942803953898</v>
      </c>
      <c r="M566" s="100">
        <f>+I566/D566</f>
        <v>8309.3492517991344</v>
      </c>
    </row>
    <row r="567" spans="2:13" x14ac:dyDescent="0.2">
      <c r="B567" s="138" t="s">
        <v>215</v>
      </c>
      <c r="C567" s="57">
        <f t="shared" ref="C567:C571" si="416">+D549</f>
        <v>1163.8333333333333</v>
      </c>
      <c r="D567" s="57">
        <v>1166.5833333333333</v>
      </c>
      <c r="E567" s="100" t="s">
        <v>61</v>
      </c>
      <c r="F567" s="100">
        <f t="shared" ref="F567:F571" si="417">+G549</f>
        <v>33629605.964253612</v>
      </c>
      <c r="G567" s="100">
        <f t="shared" ref="G567:G571" si="418">+K423</f>
        <v>33533529.262311421</v>
      </c>
      <c r="H567" s="100">
        <f t="shared" ref="H567:H571" si="419">+I549</f>
        <v>33471600.636745784</v>
      </c>
      <c r="I567" s="100">
        <f>+G567*K$563</f>
        <v>33607772.614800669</v>
      </c>
      <c r="J567" s="100">
        <f t="shared" ref="J567:J571" si="420">+F567/C567</f>
        <v>28895.551451456635</v>
      </c>
      <c r="K567" s="100">
        <f t="shared" si="415"/>
        <v>28745.078301859925</v>
      </c>
      <c r="L567" s="100">
        <f t="shared" ref="L567:L571" si="421">+H567/C567</f>
        <v>28759.78860381995</v>
      </c>
      <c r="M567" s="100">
        <f t="shared" ref="M567:M571" si="422">+I567/D567</f>
        <v>28808.7200069725</v>
      </c>
    </row>
    <row r="568" spans="2:13" x14ac:dyDescent="0.2">
      <c r="B568" s="138" t="s">
        <v>119</v>
      </c>
      <c r="C568" s="57">
        <f t="shared" si="416"/>
        <v>122.08333333333333</v>
      </c>
      <c r="D568" s="57">
        <v>126</v>
      </c>
      <c r="E568" s="155" t="s">
        <v>62</v>
      </c>
      <c r="F568" s="100">
        <f t="shared" si="417"/>
        <v>281171.19930808013</v>
      </c>
      <c r="G568" s="100">
        <f t="shared" si="418"/>
        <v>301675.62</v>
      </c>
      <c r="H568" s="100">
        <f t="shared" si="419"/>
        <v>281171.19930808013</v>
      </c>
      <c r="I568" s="100">
        <f t="shared" ref="I568:I569" si="423">+G568</f>
        <v>301675.62</v>
      </c>
      <c r="J568" s="100">
        <f t="shared" si="420"/>
        <v>2303.1087997931481</v>
      </c>
      <c r="K568" s="100">
        <f t="shared" si="415"/>
        <v>2394.2509523809522</v>
      </c>
      <c r="L568" s="100">
        <f t="shared" si="421"/>
        <v>2303.1087997931481</v>
      </c>
      <c r="M568" s="100">
        <f t="shared" si="422"/>
        <v>2394.2509523809522</v>
      </c>
    </row>
    <row r="569" spans="2:13" x14ac:dyDescent="0.2">
      <c r="B569" s="138" t="s">
        <v>114</v>
      </c>
      <c r="C569" s="57">
        <f t="shared" si="416"/>
        <v>2944.1666666666665</v>
      </c>
      <c r="D569" s="57">
        <v>2965.9166666666665</v>
      </c>
      <c r="E569" s="155" t="s">
        <v>62</v>
      </c>
      <c r="F569" s="100">
        <f t="shared" si="417"/>
        <v>2445.92</v>
      </c>
      <c r="G569" s="100">
        <f t="shared" si="418"/>
        <v>2420.3500000000004</v>
      </c>
      <c r="H569" s="100">
        <f t="shared" si="419"/>
        <v>2445.92</v>
      </c>
      <c r="I569" s="100">
        <f t="shared" si="423"/>
        <v>2420.3500000000004</v>
      </c>
      <c r="J569" s="100">
        <f t="shared" si="420"/>
        <v>0.83076818567789423</v>
      </c>
      <c r="K569" s="100">
        <f t="shared" si="415"/>
        <v>0.81605462055013922</v>
      </c>
      <c r="L569" s="100">
        <f t="shared" si="421"/>
        <v>0.83076818567789423</v>
      </c>
      <c r="M569" s="100">
        <f t="shared" si="422"/>
        <v>0.81605462055013922</v>
      </c>
    </row>
    <row r="570" spans="2:13" x14ac:dyDescent="0.2">
      <c r="B570" s="138" t="s">
        <v>68</v>
      </c>
      <c r="C570" s="57">
        <f t="shared" si="416"/>
        <v>157.66666666666666</v>
      </c>
      <c r="D570" s="57">
        <v>158</v>
      </c>
      <c r="E570" s="155" t="s">
        <v>62</v>
      </c>
      <c r="F570" s="100">
        <f t="shared" si="417"/>
        <v>282.2</v>
      </c>
      <c r="G570" s="100">
        <f t="shared" si="418"/>
        <v>282</v>
      </c>
      <c r="H570" s="100">
        <f t="shared" si="419"/>
        <v>282.2</v>
      </c>
      <c r="I570" s="100">
        <f>+G570</f>
        <v>282</v>
      </c>
      <c r="J570" s="100">
        <f t="shared" si="420"/>
        <v>1.7898520084566596</v>
      </c>
      <c r="K570" s="100">
        <f t="shared" si="415"/>
        <v>1.7848101265822784</v>
      </c>
      <c r="L570" s="100">
        <f t="shared" si="421"/>
        <v>1.7898520084566596</v>
      </c>
      <c r="M570" s="100">
        <f t="shared" si="422"/>
        <v>1.7848101265822784</v>
      </c>
    </row>
    <row r="571" spans="2:13" x14ac:dyDescent="0.2">
      <c r="B571" s="138" t="s">
        <v>168</v>
      </c>
      <c r="C571" s="57">
        <f t="shared" si="416"/>
        <v>97</v>
      </c>
      <c r="D571" s="57">
        <v>98</v>
      </c>
      <c r="E571" s="155" t="s">
        <v>61</v>
      </c>
      <c r="F571" s="100">
        <f t="shared" si="417"/>
        <v>375339.18519225245</v>
      </c>
      <c r="G571" s="100">
        <f t="shared" si="418"/>
        <v>375339.18519225245</v>
      </c>
      <c r="H571" s="100">
        <f t="shared" si="419"/>
        <v>373575.69171136356</v>
      </c>
      <c r="I571" s="100">
        <f>+G571*K$563</f>
        <v>376170.18747689942</v>
      </c>
      <c r="J571" s="100">
        <f t="shared" si="420"/>
        <v>3869.4761360026027</v>
      </c>
      <c r="K571" s="100">
        <f t="shared" si="415"/>
        <v>3829.9916856352293</v>
      </c>
      <c r="L571" s="100">
        <f t="shared" si="421"/>
        <v>3851.2957908387993</v>
      </c>
      <c r="M571" s="100">
        <f t="shared" si="422"/>
        <v>3838.4713007846881</v>
      </c>
    </row>
    <row r="572" spans="2:13" x14ac:dyDescent="0.2">
      <c r="B572" s="153" t="s">
        <v>208</v>
      </c>
      <c r="C572" s="153" t="s">
        <v>227</v>
      </c>
      <c r="D572" s="153" t="s">
        <v>228</v>
      </c>
      <c r="E572" s="153"/>
      <c r="F572" s="153" t="s">
        <v>221</v>
      </c>
      <c r="G572" s="153" t="s">
        <v>228</v>
      </c>
      <c r="H572" s="153" t="str">
        <f>+F572</f>
        <v>Volume</v>
      </c>
      <c r="I572" s="153" t="str">
        <f>+G572</f>
        <v>%</v>
      </c>
      <c r="J572" s="153" t="str">
        <f t="shared" ref="J572" si="424">+H572</f>
        <v>Volume</v>
      </c>
      <c r="K572" s="153" t="str">
        <f t="shared" ref="K572" si="425">+I572</f>
        <v>%</v>
      </c>
      <c r="L572" s="153" t="str">
        <f t="shared" ref="L572" si="426">+J572</f>
        <v>Volume</v>
      </c>
      <c r="M572" s="153" t="str">
        <f t="shared" ref="M572" si="427">+K572</f>
        <v>%</v>
      </c>
    </row>
    <row r="573" spans="2:13" x14ac:dyDescent="0.2">
      <c r="B573" s="139" t="str">
        <f>+B566</f>
        <v>Residential</v>
      </c>
      <c r="C573" s="100">
        <f>+D566-C566</f>
        <v>86.83333333333394</v>
      </c>
      <c r="D573" s="101">
        <f>(D566-C566)/C566</f>
        <v>7.6290607176589132E-3</v>
      </c>
      <c r="E573" s="100" t="str">
        <f>+E566</f>
        <v>kWh</v>
      </c>
      <c r="F573" s="100">
        <f t="shared" ref="F573:F578" si="428">+G566-F566</f>
        <v>-499742.42823332548</v>
      </c>
      <c r="G573" s="101">
        <f t="shared" ref="G573:G578" si="429">(G566-F566)/F566</f>
        <v>-5.2281384790955074E-3</v>
      </c>
      <c r="H573" s="100">
        <f t="shared" ref="H573:H578" si="430">+I566-H566</f>
        <v>159887.48996768892</v>
      </c>
      <c r="I573" s="101">
        <f t="shared" ref="I573:I578" si="431">(I566-H566)/H566</f>
        <v>1.6805856152557288E-3</v>
      </c>
      <c r="J573" s="100">
        <f t="shared" ref="J573:J578" si="432">+K566-J566</f>
        <v>-107.15919116813529</v>
      </c>
      <c r="K573" s="101">
        <f t="shared" ref="K573:K578" si="433">(K566-J566)/J566</f>
        <v>-1.2759853499657171E-2</v>
      </c>
      <c r="L573" s="100">
        <f t="shared" ref="L573:L578" si="434">+M566-L566</f>
        <v>-49.345028596255361</v>
      </c>
      <c r="M573" s="101">
        <f t="shared" ref="M573:M578" si="435">(M566-L566)/L566</f>
        <v>-5.903437419883863E-3</v>
      </c>
    </row>
    <row r="574" spans="2:13" x14ac:dyDescent="0.2">
      <c r="B574" s="139" t="str">
        <f t="shared" ref="B574:B578" si="436">+B567</f>
        <v>GS&lt;50 kW</v>
      </c>
      <c r="C574" s="100">
        <f t="shared" ref="C574:C578" si="437">+D567-C567</f>
        <v>2.75</v>
      </c>
      <c r="D574" s="101">
        <f t="shared" ref="D574:D578" si="438">(D567-C567)/C567</f>
        <v>2.3628812831161393E-3</v>
      </c>
      <c r="E574" s="100" t="str">
        <f t="shared" ref="E574:E578" si="439">+E567</f>
        <v>kWh</v>
      </c>
      <c r="F574" s="100">
        <f t="shared" si="428"/>
        <v>-96076.701942190528</v>
      </c>
      <c r="G574" s="101">
        <f t="shared" si="429"/>
        <v>-2.8569083457092742E-3</v>
      </c>
      <c r="H574" s="100">
        <f t="shared" si="430"/>
        <v>136171.97805488482</v>
      </c>
      <c r="I574" s="101">
        <f t="shared" si="431"/>
        <v>4.0682840218101953E-3</v>
      </c>
      <c r="J574" s="100">
        <f t="shared" si="432"/>
        <v>-150.47314959670985</v>
      </c>
      <c r="K574" s="101">
        <f t="shared" si="433"/>
        <v>-5.2074849600810937E-3</v>
      </c>
      <c r="L574" s="100">
        <f t="shared" si="434"/>
        <v>48.931403152550047</v>
      </c>
      <c r="M574" s="101">
        <f t="shared" si="435"/>
        <v>1.701382573655317E-3</v>
      </c>
    </row>
    <row r="575" spans="2:13" x14ac:dyDescent="0.2">
      <c r="B575" s="139" t="str">
        <f t="shared" si="436"/>
        <v>GS&gt;50 kW</v>
      </c>
      <c r="C575" s="100">
        <f t="shared" si="437"/>
        <v>3.9166666666666714</v>
      </c>
      <c r="D575" s="101">
        <f t="shared" si="438"/>
        <v>3.2081911262798676E-2</v>
      </c>
      <c r="E575" s="155" t="str">
        <f t="shared" si="439"/>
        <v>kW</v>
      </c>
      <c r="F575" s="100">
        <f t="shared" si="428"/>
        <v>20504.420691919862</v>
      </c>
      <c r="G575" s="101">
        <f t="shared" si="429"/>
        <v>7.2925039059399205E-2</v>
      </c>
      <c r="H575" s="100">
        <f t="shared" si="430"/>
        <v>20504.420691919862</v>
      </c>
      <c r="I575" s="101">
        <f t="shared" si="431"/>
        <v>7.2925039059399205E-2</v>
      </c>
      <c r="J575" s="100">
        <f t="shared" si="432"/>
        <v>91.142152587804048</v>
      </c>
      <c r="K575" s="101">
        <f t="shared" si="433"/>
        <v>3.9573533215621383E-2</v>
      </c>
      <c r="L575" s="100">
        <f t="shared" si="434"/>
        <v>91.142152587804048</v>
      </c>
      <c r="M575" s="101">
        <f t="shared" si="435"/>
        <v>3.9573533215621383E-2</v>
      </c>
    </row>
    <row r="576" spans="2:13" x14ac:dyDescent="0.2">
      <c r="B576" s="139" t="str">
        <f t="shared" si="436"/>
        <v>Street Lighting</v>
      </c>
      <c r="C576" s="100">
        <f t="shared" si="437"/>
        <v>21.75</v>
      </c>
      <c r="D576" s="101">
        <f t="shared" si="438"/>
        <v>7.3874893857911132E-3</v>
      </c>
      <c r="E576" s="155" t="str">
        <f t="shared" si="439"/>
        <v>kW</v>
      </c>
      <c r="F576" s="100">
        <f t="shared" si="428"/>
        <v>-25.569999999999709</v>
      </c>
      <c r="G576" s="101">
        <f t="shared" si="429"/>
        <v>-1.04541440439588E-2</v>
      </c>
      <c r="H576" s="100">
        <f t="shared" si="430"/>
        <v>-25.569999999999709</v>
      </c>
      <c r="I576" s="101">
        <f t="shared" si="431"/>
        <v>-1.04541440439588E-2</v>
      </c>
      <c r="J576" s="100">
        <f t="shared" si="432"/>
        <v>-1.4713565127755013E-2</v>
      </c>
      <c r="K576" s="101">
        <f t="shared" si="433"/>
        <v>-1.7710795118795947E-2</v>
      </c>
      <c r="L576" s="100">
        <f t="shared" si="434"/>
        <v>-1.4713565127755013E-2</v>
      </c>
      <c r="M576" s="101">
        <f t="shared" si="435"/>
        <v>-1.7710795118795947E-2</v>
      </c>
    </row>
    <row r="577" spans="2:13" x14ac:dyDescent="0.2">
      <c r="B577" s="139" t="str">
        <f t="shared" si="436"/>
        <v>Sentinel Lights</v>
      </c>
      <c r="C577" s="100">
        <f t="shared" si="437"/>
        <v>0.33333333333334281</v>
      </c>
      <c r="D577" s="101">
        <f t="shared" si="438"/>
        <v>2.1141649048626397E-3</v>
      </c>
      <c r="E577" s="155" t="str">
        <f t="shared" si="439"/>
        <v>kW</v>
      </c>
      <c r="F577" s="100">
        <f t="shared" si="428"/>
        <v>-0.19999999999998863</v>
      </c>
      <c r="G577" s="101">
        <f t="shared" si="429"/>
        <v>-7.0871722182845012E-4</v>
      </c>
      <c r="H577" s="100">
        <f t="shared" si="430"/>
        <v>-0.19999999999998863</v>
      </c>
      <c r="I577" s="101">
        <f t="shared" si="431"/>
        <v>-7.0871722182845012E-4</v>
      </c>
      <c r="J577" s="100">
        <f t="shared" si="432"/>
        <v>-5.0418818743811489E-3</v>
      </c>
      <c r="K577" s="101">
        <f t="shared" si="433"/>
        <v>-2.816926679166411E-3</v>
      </c>
      <c r="L577" s="100">
        <f t="shared" si="434"/>
        <v>-5.0418818743811489E-3</v>
      </c>
      <c r="M577" s="101">
        <f t="shared" si="435"/>
        <v>-2.816926679166411E-3</v>
      </c>
    </row>
    <row r="578" spans="2:13" x14ac:dyDescent="0.2">
      <c r="B578" s="139" t="str">
        <f t="shared" si="436"/>
        <v>USL</v>
      </c>
      <c r="C578" s="100">
        <f t="shared" si="437"/>
        <v>1</v>
      </c>
      <c r="D578" s="101">
        <f t="shared" si="438"/>
        <v>1.0309278350515464E-2</v>
      </c>
      <c r="E578" s="155" t="str">
        <f t="shared" si="439"/>
        <v>kWh</v>
      </c>
      <c r="F578" s="100">
        <f t="shared" si="428"/>
        <v>0</v>
      </c>
      <c r="G578" s="101">
        <f t="shared" si="429"/>
        <v>0</v>
      </c>
      <c r="H578" s="100">
        <f t="shared" si="430"/>
        <v>2594.4957655358594</v>
      </c>
      <c r="I578" s="101">
        <f t="shared" si="431"/>
        <v>6.9450336922361883E-3</v>
      </c>
      <c r="J578" s="100">
        <f t="shared" si="432"/>
        <v>-39.484450367373483</v>
      </c>
      <c r="K578" s="101">
        <f t="shared" si="433"/>
        <v>-1.0204081632653057E-2</v>
      </c>
      <c r="L578" s="100">
        <f t="shared" si="434"/>
        <v>-12.824490054111266</v>
      </c>
      <c r="M578" s="101">
        <f t="shared" si="435"/>
        <v>-3.329915631153881E-3</v>
      </c>
    </row>
    <row r="580" spans="2:13" x14ac:dyDescent="0.2">
      <c r="B580" s="47" t="str">
        <f>C583&amp;" vs "&amp;D583</f>
        <v>2021 Actual vs 2022 Actual</v>
      </c>
    </row>
    <row r="581" spans="2:13" x14ac:dyDescent="0.2">
      <c r="J581" s="156" t="s">
        <v>223</v>
      </c>
      <c r="K581" s="157">
        <f>+L428</f>
        <v>0.99751372994343024</v>
      </c>
    </row>
    <row r="582" spans="2:13" x14ac:dyDescent="0.2">
      <c r="B582" s="253" t="s">
        <v>207</v>
      </c>
      <c r="C582" s="251" t="s">
        <v>219</v>
      </c>
      <c r="D582" s="252"/>
      <c r="E582" s="253" t="s">
        <v>220</v>
      </c>
      <c r="F582" s="251" t="s">
        <v>221</v>
      </c>
      <c r="G582" s="252"/>
      <c r="H582" s="251" t="s">
        <v>225</v>
      </c>
      <c r="I582" s="252"/>
      <c r="J582" s="251" t="s">
        <v>222</v>
      </c>
      <c r="K582" s="252"/>
      <c r="L582" s="251" t="s">
        <v>224</v>
      </c>
      <c r="M582" s="252"/>
    </row>
    <row r="583" spans="2:13" x14ac:dyDescent="0.2">
      <c r="B583" s="253" t="s">
        <v>207</v>
      </c>
      <c r="C583" s="153" t="s">
        <v>153</v>
      </c>
      <c r="D583" s="153" t="s">
        <v>154</v>
      </c>
      <c r="E583" s="253" t="s">
        <v>214</v>
      </c>
      <c r="F583" s="153" t="str">
        <f>+C583</f>
        <v>2021 Actual</v>
      </c>
      <c r="G583" s="153" t="str">
        <f>+D583</f>
        <v>2022 Actual</v>
      </c>
      <c r="H583" s="153" t="str">
        <f>+F583</f>
        <v>2021 Actual</v>
      </c>
      <c r="I583" s="153" t="str">
        <f>+G583</f>
        <v>2022 Actual</v>
      </c>
      <c r="J583" s="153" t="str">
        <f t="shared" ref="J583" si="440">+H583</f>
        <v>2021 Actual</v>
      </c>
      <c r="K583" s="153" t="str">
        <f t="shared" ref="K583" si="441">+I583</f>
        <v>2022 Actual</v>
      </c>
      <c r="L583" s="153" t="str">
        <f t="shared" ref="L583" si="442">+J583</f>
        <v>2021 Actual</v>
      </c>
      <c r="M583" s="153" t="str">
        <f t="shared" ref="M583" si="443">+K583</f>
        <v>2022 Actual</v>
      </c>
    </row>
    <row r="584" spans="2:13" x14ac:dyDescent="0.2">
      <c r="B584" s="138" t="s">
        <v>100</v>
      </c>
      <c r="C584" s="57">
        <f>+D566</f>
        <v>11468.75</v>
      </c>
      <c r="D584" s="57" cm="1">
        <f t="array" ref="D584:D589">TRANSPOSE(C60:H60)</f>
        <v>11526.25</v>
      </c>
      <c r="E584" s="100" t="s">
        <v>61</v>
      </c>
      <c r="F584" s="100">
        <f>+G566</f>
        <v>95087325.556198344</v>
      </c>
      <c r="G584" s="100">
        <f>+L422</f>
        <v>95371627.720710099</v>
      </c>
      <c r="H584" s="100">
        <f>+I566</f>
        <v>95297849.231571317</v>
      </c>
      <c r="I584" s="100">
        <f>+G584*K$581</f>
        <v>95134508.098461777</v>
      </c>
      <c r="J584" s="100">
        <f>+F584/C584</f>
        <v>8290.9929640281935</v>
      </c>
      <c r="K584" s="100">
        <f t="shared" ref="K584:K589" si="444">+G584/D584</f>
        <v>8274.2980345481046</v>
      </c>
      <c r="L584" s="100">
        <f>+H584/C584</f>
        <v>8309.3492517991344</v>
      </c>
      <c r="M584" s="100">
        <f>+I584/D584</f>
        <v>8253.7258951056738</v>
      </c>
    </row>
    <row r="585" spans="2:13" x14ac:dyDescent="0.2">
      <c r="B585" s="138" t="s">
        <v>215</v>
      </c>
      <c r="C585" s="57">
        <f t="shared" ref="C585:C589" si="445">+D567</f>
        <v>1166.5833333333333</v>
      </c>
      <c r="D585" s="57">
        <v>1166.5</v>
      </c>
      <c r="E585" s="100" t="s">
        <v>61</v>
      </c>
      <c r="F585" s="100">
        <f t="shared" ref="F585:F589" si="446">+G567</f>
        <v>33533529.262311421</v>
      </c>
      <c r="G585" s="100">
        <f t="shared" ref="G585:G589" si="447">+L423</f>
        <v>35235863.474724725</v>
      </c>
      <c r="H585" s="100">
        <f t="shared" ref="H585:H589" si="448">+I567</f>
        <v>33607772.614800669</v>
      </c>
      <c r="I585" s="100">
        <f>+G585*K$581</f>
        <v>35148257.60245014</v>
      </c>
      <c r="J585" s="100">
        <f t="shared" ref="J585:J589" si="449">+F585/C585</f>
        <v>28745.078301859925</v>
      </c>
      <c r="K585" s="100">
        <f t="shared" si="444"/>
        <v>30206.483904607565</v>
      </c>
      <c r="L585" s="100">
        <f t="shared" ref="L585:L589" si="450">+H585/C585</f>
        <v>28808.7200069725</v>
      </c>
      <c r="M585" s="100">
        <f t="shared" ref="M585:M589" si="451">+I585/D585</f>
        <v>30131.382428161287</v>
      </c>
    </row>
    <row r="586" spans="2:13" x14ac:dyDescent="0.2">
      <c r="B586" s="138" t="s">
        <v>119</v>
      </c>
      <c r="C586" s="57">
        <f t="shared" si="445"/>
        <v>126</v>
      </c>
      <c r="D586" s="57">
        <v>125.75</v>
      </c>
      <c r="E586" s="155" t="s">
        <v>62</v>
      </c>
      <c r="F586" s="100">
        <f t="shared" si="446"/>
        <v>301675.62</v>
      </c>
      <c r="G586" s="100">
        <f t="shared" si="447"/>
        <v>317681.46000000008</v>
      </c>
      <c r="H586" s="100">
        <f t="shared" si="448"/>
        <v>301675.62</v>
      </c>
      <c r="I586" s="100">
        <f t="shared" ref="I586:I587" si="452">+G586</f>
        <v>317681.46000000008</v>
      </c>
      <c r="J586" s="100">
        <f t="shared" si="449"/>
        <v>2394.2509523809522</v>
      </c>
      <c r="K586" s="100">
        <f t="shared" si="444"/>
        <v>2526.2939165009948</v>
      </c>
      <c r="L586" s="100">
        <f t="shared" si="450"/>
        <v>2394.2509523809522</v>
      </c>
      <c r="M586" s="100">
        <f t="shared" si="451"/>
        <v>2526.2939165009948</v>
      </c>
    </row>
    <row r="587" spans="2:13" x14ac:dyDescent="0.2">
      <c r="B587" s="138" t="s">
        <v>114</v>
      </c>
      <c r="C587" s="57">
        <f t="shared" si="445"/>
        <v>2965.9166666666665</v>
      </c>
      <c r="D587" s="57">
        <v>2985</v>
      </c>
      <c r="E587" s="155" t="s">
        <v>62</v>
      </c>
      <c r="F587" s="100">
        <f t="shared" si="446"/>
        <v>2420.3500000000004</v>
      </c>
      <c r="G587" s="100">
        <f t="shared" si="447"/>
        <v>2434.08</v>
      </c>
      <c r="H587" s="100">
        <f t="shared" si="448"/>
        <v>2420.3500000000004</v>
      </c>
      <c r="I587" s="100">
        <f t="shared" si="452"/>
        <v>2434.08</v>
      </c>
      <c r="J587" s="100">
        <f t="shared" si="449"/>
        <v>0.81605462055013922</v>
      </c>
      <c r="K587" s="100">
        <f t="shared" si="444"/>
        <v>0.8154371859296482</v>
      </c>
      <c r="L587" s="100">
        <f t="shared" si="450"/>
        <v>0.81605462055013922</v>
      </c>
      <c r="M587" s="100">
        <f t="shared" si="451"/>
        <v>0.8154371859296482</v>
      </c>
    </row>
    <row r="588" spans="2:13" x14ac:dyDescent="0.2">
      <c r="B588" s="138" t="s">
        <v>68</v>
      </c>
      <c r="C588" s="57">
        <f t="shared" si="445"/>
        <v>158</v>
      </c>
      <c r="D588" s="57">
        <v>157.25</v>
      </c>
      <c r="E588" s="155" t="s">
        <v>62</v>
      </c>
      <c r="F588" s="100">
        <f t="shared" si="446"/>
        <v>282</v>
      </c>
      <c r="G588" s="100">
        <f t="shared" si="447"/>
        <v>278.2</v>
      </c>
      <c r="H588" s="100">
        <f t="shared" si="448"/>
        <v>282</v>
      </c>
      <c r="I588" s="100">
        <f>+G588</f>
        <v>278.2</v>
      </c>
      <c r="J588" s="100">
        <f t="shared" si="449"/>
        <v>1.7848101265822784</v>
      </c>
      <c r="K588" s="100">
        <f t="shared" si="444"/>
        <v>1.7691573926868043</v>
      </c>
      <c r="L588" s="100">
        <f t="shared" si="450"/>
        <v>1.7848101265822784</v>
      </c>
      <c r="M588" s="100">
        <f t="shared" si="451"/>
        <v>1.7691573926868043</v>
      </c>
    </row>
    <row r="589" spans="2:13" x14ac:dyDescent="0.2">
      <c r="B589" s="138" t="s">
        <v>168</v>
      </c>
      <c r="C589" s="57">
        <f t="shared" si="445"/>
        <v>98</v>
      </c>
      <c r="D589" s="57">
        <v>98</v>
      </c>
      <c r="E589" s="155" t="s">
        <v>61</v>
      </c>
      <c r="F589" s="100">
        <f t="shared" si="446"/>
        <v>375339.18519225245</v>
      </c>
      <c r="G589" s="100">
        <f t="shared" si="447"/>
        <v>375339.18519225251</v>
      </c>
      <c r="H589" s="100">
        <f t="shared" si="448"/>
        <v>376170.18747689942</v>
      </c>
      <c r="I589" s="100">
        <f>+G589*K$581</f>
        <v>374405.99061505171</v>
      </c>
      <c r="J589" s="100">
        <f t="shared" si="449"/>
        <v>3829.9916856352293</v>
      </c>
      <c r="K589" s="100">
        <f t="shared" si="444"/>
        <v>3829.9916856352297</v>
      </c>
      <c r="L589" s="100">
        <f t="shared" si="450"/>
        <v>3838.4713007846881</v>
      </c>
      <c r="M589" s="100">
        <f t="shared" si="451"/>
        <v>3820.4692919903237</v>
      </c>
    </row>
    <row r="590" spans="2:13" x14ac:dyDescent="0.2">
      <c r="B590" s="153" t="s">
        <v>208</v>
      </c>
      <c r="C590" s="153" t="s">
        <v>227</v>
      </c>
      <c r="D590" s="153" t="s">
        <v>228</v>
      </c>
      <c r="E590" s="153"/>
      <c r="F590" s="153" t="s">
        <v>221</v>
      </c>
      <c r="G590" s="153" t="s">
        <v>228</v>
      </c>
      <c r="H590" s="153" t="str">
        <f>+F590</f>
        <v>Volume</v>
      </c>
      <c r="I590" s="153" t="str">
        <f>+G590</f>
        <v>%</v>
      </c>
      <c r="J590" s="153" t="str">
        <f t="shared" ref="J590" si="453">+H590</f>
        <v>Volume</v>
      </c>
      <c r="K590" s="153" t="str">
        <f t="shared" ref="K590" si="454">+I590</f>
        <v>%</v>
      </c>
      <c r="L590" s="153" t="str">
        <f t="shared" ref="L590" si="455">+J590</f>
        <v>Volume</v>
      </c>
      <c r="M590" s="153" t="str">
        <f t="shared" ref="M590" si="456">+K590</f>
        <v>%</v>
      </c>
    </row>
    <row r="591" spans="2:13" x14ac:dyDescent="0.2">
      <c r="B591" s="139" t="str">
        <f>+B584</f>
        <v>Residential</v>
      </c>
      <c r="C591" s="100">
        <f>+D584-C584</f>
        <v>57.5</v>
      </c>
      <c r="D591" s="101">
        <f>(D584-C584)/C584</f>
        <v>5.0136239782016352E-3</v>
      </c>
      <c r="E591" s="100" t="str">
        <f>+E584</f>
        <v>kWh</v>
      </c>
      <c r="F591" s="100">
        <f t="shared" ref="F591:F596" si="457">+G584-F584</f>
        <v>284302.16451175511</v>
      </c>
      <c r="G591" s="101">
        <f t="shared" ref="G591:G596" si="458">(G584-F584)/F584</f>
        <v>2.9899059927153736E-3</v>
      </c>
      <c r="H591" s="100">
        <f t="shared" ref="H591:H596" si="459">+I584-H584</f>
        <v>-163341.13310953975</v>
      </c>
      <c r="I591" s="101">
        <f t="shared" ref="I591:I596" si="460">(I584-H584)/H584</f>
        <v>-1.7140065009507719E-3</v>
      </c>
      <c r="J591" s="100">
        <f t="shared" ref="J591:J596" si="461">+K584-J584</f>
        <v>-16.694929480088831</v>
      </c>
      <c r="K591" s="101">
        <f t="shared" ref="K591:K596" si="462">(K584-J584)/J584</f>
        <v>-2.0136224397394216E-3</v>
      </c>
      <c r="L591" s="100">
        <f t="shared" ref="L591:L596" si="463">+M584-L584</f>
        <v>-55.623356693460664</v>
      </c>
      <c r="M591" s="101">
        <f t="shared" ref="M591:M596" si="464">(M584-L584)/L584</f>
        <v>-6.694068934630126E-3</v>
      </c>
    </row>
    <row r="592" spans="2:13" x14ac:dyDescent="0.2">
      <c r="B592" s="139" t="str">
        <f t="shared" ref="B592:B596" si="465">+B585</f>
        <v>GS&lt;50 kW</v>
      </c>
      <c r="C592" s="100">
        <f t="shared" ref="C592:C596" si="466">+D585-C585</f>
        <v>-8.3333333333257542E-2</v>
      </c>
      <c r="D592" s="101">
        <f t="shared" ref="D592:D596" si="467">(D585-C585)/C585</f>
        <v>-7.143367383378031E-5</v>
      </c>
      <c r="E592" s="100" t="str">
        <f t="shared" ref="E592:E596" si="468">+E585</f>
        <v>kWh</v>
      </c>
      <c r="F592" s="100">
        <f t="shared" si="457"/>
        <v>1702334.2124133036</v>
      </c>
      <c r="G592" s="101">
        <f t="shared" si="458"/>
        <v>5.0765137158604104E-2</v>
      </c>
      <c r="H592" s="100">
        <f t="shared" si="459"/>
        <v>1540484.9876494706</v>
      </c>
      <c r="I592" s="101">
        <f t="shared" si="460"/>
        <v>4.5837164078259975E-2</v>
      </c>
      <c r="J592" s="100">
        <f t="shared" si="461"/>
        <v>1461.4056027476399</v>
      </c>
      <c r="K592" s="101">
        <f t="shared" si="462"/>
        <v>5.0840202534883368E-2</v>
      </c>
      <c r="L592" s="100">
        <f t="shared" si="463"/>
        <v>1322.6624211887865</v>
      </c>
      <c r="M592" s="101">
        <f t="shared" si="464"/>
        <v>4.5911877406169588E-2</v>
      </c>
    </row>
    <row r="593" spans="2:13" x14ac:dyDescent="0.2">
      <c r="B593" s="139" t="str">
        <f t="shared" si="465"/>
        <v>GS&gt;50 kW</v>
      </c>
      <c r="C593" s="100">
        <f t="shared" si="466"/>
        <v>-0.25</v>
      </c>
      <c r="D593" s="101">
        <f t="shared" si="467"/>
        <v>-1.984126984126984E-3</v>
      </c>
      <c r="E593" s="155" t="str">
        <f t="shared" si="468"/>
        <v>kW</v>
      </c>
      <c r="F593" s="100">
        <f t="shared" si="457"/>
        <v>16005.840000000084</v>
      </c>
      <c r="G593" s="101">
        <f t="shared" si="458"/>
        <v>5.3056458456934914E-2</v>
      </c>
      <c r="H593" s="100">
        <f t="shared" si="459"/>
        <v>16005.840000000084</v>
      </c>
      <c r="I593" s="101">
        <f t="shared" si="460"/>
        <v>5.3056458456934914E-2</v>
      </c>
      <c r="J593" s="100">
        <f t="shared" si="461"/>
        <v>132.0429641200426</v>
      </c>
      <c r="K593" s="101">
        <f t="shared" si="462"/>
        <v>5.5150010064205286E-2</v>
      </c>
      <c r="L593" s="100">
        <f t="shared" si="463"/>
        <v>132.0429641200426</v>
      </c>
      <c r="M593" s="101">
        <f t="shared" si="464"/>
        <v>5.5150010064205286E-2</v>
      </c>
    </row>
    <row r="594" spans="2:13" x14ac:dyDescent="0.2">
      <c r="B594" s="139" t="str">
        <f t="shared" si="465"/>
        <v>Street Lighting</v>
      </c>
      <c r="C594" s="100">
        <f t="shared" si="466"/>
        <v>19.083333333333485</v>
      </c>
      <c r="D594" s="101">
        <f t="shared" si="467"/>
        <v>6.4342108960130885E-3</v>
      </c>
      <c r="E594" s="155" t="str">
        <f t="shared" si="468"/>
        <v>kW</v>
      </c>
      <c r="F594" s="100">
        <f t="shared" si="457"/>
        <v>13.729999999999563</v>
      </c>
      <c r="G594" s="101">
        <f t="shared" si="458"/>
        <v>5.6727332823763342E-3</v>
      </c>
      <c r="H594" s="100">
        <f t="shared" si="459"/>
        <v>13.729999999999563</v>
      </c>
      <c r="I594" s="101">
        <f t="shared" si="460"/>
        <v>5.6727332823763342E-3</v>
      </c>
      <c r="J594" s="100">
        <f t="shared" si="461"/>
        <v>-6.1743462049101971E-4</v>
      </c>
      <c r="K594" s="101">
        <f t="shared" si="462"/>
        <v>-7.5660942900461633E-4</v>
      </c>
      <c r="L594" s="100">
        <f t="shared" si="463"/>
        <v>-6.1743462049101971E-4</v>
      </c>
      <c r="M594" s="101">
        <f t="shared" si="464"/>
        <v>-7.5660942900461633E-4</v>
      </c>
    </row>
    <row r="595" spans="2:13" x14ac:dyDescent="0.2">
      <c r="B595" s="139" t="str">
        <f t="shared" si="465"/>
        <v>Sentinel Lights</v>
      </c>
      <c r="C595" s="100">
        <f t="shared" si="466"/>
        <v>-0.75</v>
      </c>
      <c r="D595" s="101">
        <f t="shared" si="467"/>
        <v>-4.7468354430379748E-3</v>
      </c>
      <c r="E595" s="155" t="str">
        <f t="shared" si="468"/>
        <v>kW</v>
      </c>
      <c r="F595" s="100">
        <f t="shared" si="457"/>
        <v>-3.8000000000000114</v>
      </c>
      <c r="G595" s="101">
        <f t="shared" si="458"/>
        <v>-1.3475177304964579E-2</v>
      </c>
      <c r="H595" s="100">
        <f t="shared" si="459"/>
        <v>-3.8000000000000114</v>
      </c>
      <c r="I595" s="101">
        <f t="shared" si="460"/>
        <v>-1.3475177304964579E-2</v>
      </c>
      <c r="J595" s="100">
        <f t="shared" si="461"/>
        <v>-1.5652733895474169E-2</v>
      </c>
      <c r="K595" s="101">
        <f t="shared" si="462"/>
        <v>-8.7699714733507749E-3</v>
      </c>
      <c r="L595" s="100">
        <f t="shared" si="463"/>
        <v>-1.5652733895474169E-2</v>
      </c>
      <c r="M595" s="101">
        <f t="shared" si="464"/>
        <v>-8.7699714733507749E-3</v>
      </c>
    </row>
    <row r="596" spans="2:13" x14ac:dyDescent="0.2">
      <c r="B596" s="139" t="str">
        <f t="shared" si="465"/>
        <v>USL</v>
      </c>
      <c r="C596" s="100">
        <f t="shared" si="466"/>
        <v>0</v>
      </c>
      <c r="D596" s="101">
        <f t="shared" si="467"/>
        <v>0</v>
      </c>
      <c r="E596" s="155" t="str">
        <f t="shared" si="468"/>
        <v>kWh</v>
      </c>
      <c r="F596" s="100">
        <f t="shared" si="457"/>
        <v>0</v>
      </c>
      <c r="G596" s="101">
        <f t="shared" si="458"/>
        <v>1.5508016005217486E-16</v>
      </c>
      <c r="H596" s="100">
        <f t="shared" si="459"/>
        <v>-1764.1968618477113</v>
      </c>
      <c r="I596" s="101">
        <f t="shared" si="460"/>
        <v>-4.6898901629626099E-3</v>
      </c>
      <c r="J596" s="100">
        <f t="shared" si="461"/>
        <v>0</v>
      </c>
      <c r="K596" s="101">
        <f t="shared" si="462"/>
        <v>1.1873324753994635E-16</v>
      </c>
      <c r="L596" s="100">
        <f t="shared" si="463"/>
        <v>-18.002008794364428</v>
      </c>
      <c r="M596" s="101">
        <f t="shared" si="464"/>
        <v>-4.6898901629626169E-3</v>
      </c>
    </row>
    <row r="598" spans="2:13" x14ac:dyDescent="0.2">
      <c r="B598" s="47" t="str">
        <f>C601&amp;" vs "&amp;D601</f>
        <v>2022 Actual vs 2023 Bridge</v>
      </c>
    </row>
    <row r="599" spans="2:13" x14ac:dyDescent="0.2">
      <c r="J599" s="156"/>
      <c r="K599" s="157"/>
    </row>
    <row r="600" spans="2:13" x14ac:dyDescent="0.2">
      <c r="B600" s="253" t="s">
        <v>207</v>
      </c>
      <c r="C600" s="251" t="s">
        <v>219</v>
      </c>
      <c r="D600" s="252"/>
      <c r="E600" s="253" t="s">
        <v>220</v>
      </c>
      <c r="F600" s="251" t="s">
        <v>221</v>
      </c>
      <c r="G600" s="252"/>
      <c r="H600" s="251" t="s">
        <v>225</v>
      </c>
      <c r="I600" s="252"/>
      <c r="J600" s="251" t="s">
        <v>222</v>
      </c>
      <c r="K600" s="252"/>
      <c r="L600" s="251" t="s">
        <v>224</v>
      </c>
      <c r="M600" s="252"/>
    </row>
    <row r="601" spans="2:13" x14ac:dyDescent="0.2">
      <c r="B601" s="253" t="s">
        <v>207</v>
      </c>
      <c r="C601" s="153" t="s">
        <v>154</v>
      </c>
      <c r="D601" s="153" t="s">
        <v>155</v>
      </c>
      <c r="E601" s="253" t="s">
        <v>214</v>
      </c>
      <c r="F601" s="153" t="str">
        <f>+C601</f>
        <v>2022 Actual</v>
      </c>
      <c r="G601" s="153" t="str">
        <f>+D601</f>
        <v>2023 Bridge</v>
      </c>
      <c r="H601" s="153" t="str">
        <f>+F601</f>
        <v>2022 Actual</v>
      </c>
      <c r="I601" s="153" t="str">
        <f>+G601</f>
        <v>2023 Bridge</v>
      </c>
      <c r="J601" s="153" t="str">
        <f t="shared" ref="J601" si="469">+H601</f>
        <v>2022 Actual</v>
      </c>
      <c r="K601" s="153" t="str">
        <f t="shared" ref="K601" si="470">+I601</f>
        <v>2023 Bridge</v>
      </c>
      <c r="L601" s="153" t="str">
        <f t="shared" ref="L601" si="471">+J601</f>
        <v>2022 Actual</v>
      </c>
      <c r="M601" s="153" t="str">
        <f t="shared" ref="M601" si="472">+K601</f>
        <v>2023 Bridge</v>
      </c>
    </row>
    <row r="602" spans="2:13" x14ac:dyDescent="0.2">
      <c r="B602" s="138" t="s">
        <v>100</v>
      </c>
      <c r="C602" s="57">
        <f>+D584</f>
        <v>11526.25</v>
      </c>
      <c r="D602" s="57" cm="1">
        <f t="array" ref="D602:D607">TRANSPOSE(C61:H61)</f>
        <v>11612.666666666666</v>
      </c>
      <c r="E602" s="100" t="s">
        <v>61</v>
      </c>
      <c r="F602" s="100">
        <f>+G584</f>
        <v>95371627.720710099</v>
      </c>
      <c r="G602" s="100">
        <f>+I602</f>
        <v>92245274.064317778</v>
      </c>
      <c r="H602" s="100">
        <f>+I584</f>
        <v>95134508.098461777</v>
      </c>
      <c r="I602" s="158">
        <f>+'Rate Class Energy Model'!H32</f>
        <v>92245274.064317778</v>
      </c>
      <c r="J602" s="100">
        <f>+F602/C602</f>
        <v>8274.2980345481046</v>
      </c>
      <c r="K602" s="100">
        <f t="shared" ref="K602:K607" si="473">+G602/D602</f>
        <v>7943.5048565633315</v>
      </c>
      <c r="L602" s="100">
        <f>+H602/C602</f>
        <v>8253.7258951056738</v>
      </c>
      <c r="M602" s="100">
        <f>+I602/D602</f>
        <v>7943.5048565633315</v>
      </c>
    </row>
    <row r="603" spans="2:13" x14ac:dyDescent="0.2">
      <c r="B603" s="138" t="s">
        <v>215</v>
      </c>
      <c r="C603" s="57">
        <f t="shared" ref="C603:C607" si="474">+D585</f>
        <v>1166.5</v>
      </c>
      <c r="D603" s="57">
        <v>1164.25</v>
      </c>
      <c r="E603" s="100" t="s">
        <v>61</v>
      </c>
      <c r="F603" s="100">
        <f t="shared" ref="F603:F607" si="475">+G585</f>
        <v>35235863.474724725</v>
      </c>
      <c r="G603" s="100">
        <f>+I603</f>
        <v>34781027.104293205</v>
      </c>
      <c r="H603" s="100">
        <f t="shared" ref="H603:H607" si="476">+I585</f>
        <v>35148257.60245014</v>
      </c>
      <c r="I603" s="158">
        <f>+'Rate Class Energy Model'!I32</f>
        <v>34781027.104293205</v>
      </c>
      <c r="J603" s="100">
        <f t="shared" ref="J603:J607" si="477">+F603/C603</f>
        <v>30206.483904607565</v>
      </c>
      <c r="K603" s="100">
        <f t="shared" si="473"/>
        <v>29874.191199736488</v>
      </c>
      <c r="L603" s="100">
        <f t="shared" ref="L603:L607" si="478">+H603/C603</f>
        <v>30131.382428161287</v>
      </c>
      <c r="M603" s="100">
        <f t="shared" ref="M603:M607" si="479">+I603/D603</f>
        <v>29874.191199736488</v>
      </c>
    </row>
    <row r="604" spans="2:13" x14ac:dyDescent="0.2">
      <c r="B604" s="138" t="s">
        <v>119</v>
      </c>
      <c r="C604" s="57">
        <f t="shared" si="474"/>
        <v>125.75</v>
      </c>
      <c r="D604" s="57">
        <v>126</v>
      </c>
      <c r="E604" s="155" t="s">
        <v>62</v>
      </c>
      <c r="F604" s="100">
        <f t="shared" si="475"/>
        <v>317681.46000000008</v>
      </c>
      <c r="G604" s="100">
        <f t="shared" ref="G604:G607" si="480">+M424</f>
        <v>312958.84992735123</v>
      </c>
      <c r="H604" s="100">
        <f t="shared" si="476"/>
        <v>317681.46000000008</v>
      </c>
      <c r="I604" s="158">
        <f t="shared" ref="I604:I605" si="481">+G604</f>
        <v>312958.84992735123</v>
      </c>
      <c r="J604" s="100">
        <f t="shared" si="477"/>
        <v>2526.2939165009948</v>
      </c>
      <c r="K604" s="100">
        <f t="shared" si="473"/>
        <v>2483.8003962488192</v>
      </c>
      <c r="L604" s="100">
        <f t="shared" si="478"/>
        <v>2526.2939165009948</v>
      </c>
      <c r="M604" s="100">
        <f t="shared" si="479"/>
        <v>2483.8003962488192</v>
      </c>
    </row>
    <row r="605" spans="2:13" x14ac:dyDescent="0.2">
      <c r="B605" s="138" t="s">
        <v>114</v>
      </c>
      <c r="C605" s="57">
        <f t="shared" si="474"/>
        <v>2985</v>
      </c>
      <c r="D605" s="57">
        <v>2963</v>
      </c>
      <c r="E605" s="155" t="s">
        <v>62</v>
      </c>
      <c r="F605" s="100">
        <f t="shared" si="475"/>
        <v>2434.08</v>
      </c>
      <c r="G605" s="100">
        <f t="shared" si="480"/>
        <v>2424.0839715283414</v>
      </c>
      <c r="H605" s="100">
        <f t="shared" si="476"/>
        <v>2434.08</v>
      </c>
      <c r="I605" s="158">
        <f t="shared" si="481"/>
        <v>2424.0839715283414</v>
      </c>
      <c r="J605" s="100">
        <f t="shared" si="477"/>
        <v>0.8154371859296482</v>
      </c>
      <c r="K605" s="100">
        <f t="shared" si="473"/>
        <v>0.81811811391439127</v>
      </c>
      <c r="L605" s="100">
        <f t="shared" si="478"/>
        <v>0.8154371859296482</v>
      </c>
      <c r="M605" s="100">
        <f t="shared" si="479"/>
        <v>0.81811811391439127</v>
      </c>
    </row>
    <row r="606" spans="2:13" x14ac:dyDescent="0.2">
      <c r="B606" s="138" t="s">
        <v>68</v>
      </c>
      <c r="C606" s="57">
        <f t="shared" si="474"/>
        <v>157.25</v>
      </c>
      <c r="D606" s="57">
        <v>157</v>
      </c>
      <c r="E606" s="155" t="s">
        <v>62</v>
      </c>
      <c r="F606" s="100">
        <f t="shared" si="475"/>
        <v>278.2</v>
      </c>
      <c r="G606" s="100">
        <f t="shared" si="480"/>
        <v>275.53977957995676</v>
      </c>
      <c r="H606" s="100">
        <f t="shared" si="476"/>
        <v>278.2</v>
      </c>
      <c r="I606" s="158">
        <f>+G606</f>
        <v>275.53977957995676</v>
      </c>
      <c r="J606" s="100">
        <f t="shared" si="477"/>
        <v>1.7691573926868043</v>
      </c>
      <c r="K606" s="100">
        <f t="shared" si="473"/>
        <v>1.7550304431844379</v>
      </c>
      <c r="L606" s="100">
        <f t="shared" si="478"/>
        <v>1.7691573926868043</v>
      </c>
      <c r="M606" s="100">
        <f t="shared" si="479"/>
        <v>1.7550304431844379</v>
      </c>
    </row>
    <row r="607" spans="2:13" x14ac:dyDescent="0.2">
      <c r="B607" s="138" t="s">
        <v>168</v>
      </c>
      <c r="C607" s="57">
        <f t="shared" si="474"/>
        <v>98</v>
      </c>
      <c r="D607" s="57">
        <v>97</v>
      </c>
      <c r="E607" s="155" t="s">
        <v>61</v>
      </c>
      <c r="F607" s="100">
        <f t="shared" si="475"/>
        <v>375339.18519225251</v>
      </c>
      <c r="G607" s="100">
        <f t="shared" si="480"/>
        <v>368617.05636627553</v>
      </c>
      <c r="H607" s="100">
        <f t="shared" si="476"/>
        <v>374405.99061505171</v>
      </c>
      <c r="I607" s="158">
        <f>+'Rate Class Energy Model'!M32</f>
        <v>368617.05636627553</v>
      </c>
      <c r="J607" s="100">
        <f t="shared" si="477"/>
        <v>3829.9916856352297</v>
      </c>
      <c r="K607" s="100">
        <f t="shared" si="473"/>
        <v>3800.175838827583</v>
      </c>
      <c r="L607" s="100">
        <f t="shared" si="478"/>
        <v>3820.4692919903237</v>
      </c>
      <c r="M607" s="100">
        <f t="shared" si="479"/>
        <v>3800.175838827583</v>
      </c>
    </row>
    <row r="608" spans="2:13" x14ac:dyDescent="0.2">
      <c r="B608" s="153" t="s">
        <v>208</v>
      </c>
      <c r="C608" s="153" t="s">
        <v>227</v>
      </c>
      <c r="D608" s="153" t="s">
        <v>228</v>
      </c>
      <c r="E608" s="153"/>
      <c r="F608" s="153" t="s">
        <v>221</v>
      </c>
      <c r="G608" s="153" t="s">
        <v>228</v>
      </c>
      <c r="H608" s="153" t="str">
        <f>+F608</f>
        <v>Volume</v>
      </c>
      <c r="I608" s="153" t="str">
        <f>+G608</f>
        <v>%</v>
      </c>
      <c r="J608" s="153" t="str">
        <f t="shared" ref="J608" si="482">+H608</f>
        <v>Volume</v>
      </c>
      <c r="K608" s="153" t="str">
        <f t="shared" ref="K608" si="483">+I608</f>
        <v>%</v>
      </c>
      <c r="L608" s="153" t="str">
        <f t="shared" ref="L608" si="484">+J608</f>
        <v>Volume</v>
      </c>
      <c r="M608" s="153" t="str">
        <f t="shared" ref="M608" si="485">+K608</f>
        <v>%</v>
      </c>
    </row>
    <row r="609" spans="2:13" x14ac:dyDescent="0.2">
      <c r="B609" s="139" t="str">
        <f>+B602</f>
        <v>Residential</v>
      </c>
      <c r="C609" s="100">
        <f>+D602-C602</f>
        <v>86.41666666666606</v>
      </c>
      <c r="D609" s="101">
        <f>(D602-C602)/C602</f>
        <v>7.4973791707334181E-3</v>
      </c>
      <c r="E609" s="100" t="str">
        <f>+E602</f>
        <v>kWh</v>
      </c>
      <c r="F609" s="100">
        <f t="shared" ref="F609:F614" si="486">+G602-F602</f>
        <v>-3126353.656392321</v>
      </c>
      <c r="G609" s="101">
        <f t="shared" ref="G609:G614" si="487">(G602-F602)/F602</f>
        <v>-3.2780751792846126E-2</v>
      </c>
      <c r="H609" s="100">
        <f t="shared" ref="H609:H614" si="488">+I602-H602</f>
        <v>-2889234.0341439992</v>
      </c>
      <c r="I609" s="101">
        <f t="shared" ref="I609:I614" si="489">(I602-H602)/H602</f>
        <v>-3.0369989732366261E-2</v>
      </c>
      <c r="J609" s="100">
        <f t="shared" ref="J609:J614" si="490">+K602-J602</f>
        <v>-330.79317798477314</v>
      </c>
      <c r="K609" s="101">
        <f t="shared" ref="K609:K614" si="491">(K602-J602)/J602</f>
        <v>-3.9978397756957176E-2</v>
      </c>
      <c r="L609" s="100">
        <f t="shared" ref="L609:L614" si="492">+M602-L602</f>
        <v>-310.22103854234228</v>
      </c>
      <c r="M609" s="101">
        <f t="shared" ref="M609:M614" si="493">(M602-L602)/L602</f>
        <v>-3.7585575591539619E-2</v>
      </c>
    </row>
    <row r="610" spans="2:13" x14ac:dyDescent="0.2">
      <c r="B610" s="139" t="str">
        <f t="shared" ref="B610:B614" si="494">+B603</f>
        <v>GS&lt;50 kW</v>
      </c>
      <c r="C610" s="100">
        <f t="shared" ref="C610:C614" si="495">+D603-C603</f>
        <v>-2.25</v>
      </c>
      <c r="D610" s="101">
        <f t="shared" ref="D610:D614" si="496">(D603-C603)/C603</f>
        <v>-1.9288469781397343E-3</v>
      </c>
      <c r="E610" s="100" t="str">
        <f t="shared" ref="E610:E614" si="497">+E603</f>
        <v>kWh</v>
      </c>
      <c r="F610" s="100">
        <f t="shared" si="486"/>
        <v>-454836.37043152004</v>
      </c>
      <c r="G610" s="101">
        <f t="shared" si="487"/>
        <v>-1.2908336154661906E-2</v>
      </c>
      <c r="H610" s="100">
        <f t="shared" si="488"/>
        <v>-367230.49815693498</v>
      </c>
      <c r="I610" s="101">
        <f t="shared" si="489"/>
        <v>-1.0448042753941117E-2</v>
      </c>
      <c r="J610" s="100">
        <f t="shared" si="490"/>
        <v>-332.29270487107715</v>
      </c>
      <c r="K610" s="101">
        <f t="shared" si="491"/>
        <v>-1.1000707858632651E-2</v>
      </c>
      <c r="L610" s="100">
        <f t="shared" si="492"/>
        <v>-257.19122842479919</v>
      </c>
      <c r="M610" s="101">
        <f t="shared" si="493"/>
        <v>-8.5356597573307495E-3</v>
      </c>
    </row>
    <row r="611" spans="2:13" x14ac:dyDescent="0.2">
      <c r="B611" s="139" t="str">
        <f t="shared" si="494"/>
        <v>GS&gt;50 kW</v>
      </c>
      <c r="C611" s="100">
        <f t="shared" si="495"/>
        <v>0.25</v>
      </c>
      <c r="D611" s="101">
        <f t="shared" si="496"/>
        <v>1.9880715705765406E-3</v>
      </c>
      <c r="E611" s="155" t="str">
        <f t="shared" si="497"/>
        <v>kW</v>
      </c>
      <c r="F611" s="100">
        <f t="shared" si="486"/>
        <v>-4722.6100726488512</v>
      </c>
      <c r="G611" s="101">
        <f t="shared" si="487"/>
        <v>-1.4865866181327831E-2</v>
      </c>
      <c r="H611" s="100">
        <f t="shared" si="488"/>
        <v>-4722.6100726488512</v>
      </c>
      <c r="I611" s="101">
        <f t="shared" si="489"/>
        <v>-1.4865866181327831E-2</v>
      </c>
      <c r="J611" s="100">
        <f t="shared" si="490"/>
        <v>-42.493520252175585</v>
      </c>
      <c r="K611" s="101">
        <f t="shared" si="491"/>
        <v>-1.6820497399222097E-2</v>
      </c>
      <c r="L611" s="100">
        <f t="shared" si="492"/>
        <v>-42.493520252175585</v>
      </c>
      <c r="M611" s="101">
        <f t="shared" si="493"/>
        <v>-1.6820497399222097E-2</v>
      </c>
    </row>
    <row r="612" spans="2:13" x14ac:dyDescent="0.2">
      <c r="B612" s="139" t="str">
        <f t="shared" si="494"/>
        <v>Street Lighting</v>
      </c>
      <c r="C612" s="100">
        <f t="shared" si="495"/>
        <v>-22</v>
      </c>
      <c r="D612" s="101">
        <f t="shared" si="496"/>
        <v>-7.3701842546063647E-3</v>
      </c>
      <c r="E612" s="155" t="str">
        <f t="shared" si="497"/>
        <v>kW</v>
      </c>
      <c r="F612" s="100">
        <f t="shared" si="486"/>
        <v>-9.9960284716585193</v>
      </c>
      <c r="G612" s="101">
        <f t="shared" si="487"/>
        <v>-4.1066967690702519E-3</v>
      </c>
      <c r="H612" s="100">
        <f t="shared" si="488"/>
        <v>-9.9960284716585193</v>
      </c>
      <c r="I612" s="101">
        <f t="shared" si="489"/>
        <v>-4.1066967690702519E-3</v>
      </c>
      <c r="J612" s="100">
        <f t="shared" si="490"/>
        <v>2.6809279847430645E-3</v>
      </c>
      <c r="K612" s="101">
        <f t="shared" si="491"/>
        <v>3.2877185772275555E-3</v>
      </c>
      <c r="L612" s="100">
        <f t="shared" si="492"/>
        <v>2.6809279847430645E-3</v>
      </c>
      <c r="M612" s="101">
        <f t="shared" si="493"/>
        <v>3.2877185772275555E-3</v>
      </c>
    </row>
    <row r="613" spans="2:13" x14ac:dyDescent="0.2">
      <c r="B613" s="139" t="str">
        <f t="shared" si="494"/>
        <v>Sentinel Lights</v>
      </c>
      <c r="C613" s="100">
        <f t="shared" si="495"/>
        <v>-0.25</v>
      </c>
      <c r="D613" s="101">
        <f t="shared" si="496"/>
        <v>-1.589825119236884E-3</v>
      </c>
      <c r="E613" s="155" t="str">
        <f t="shared" si="497"/>
        <v>kW</v>
      </c>
      <c r="F613" s="100">
        <f t="shared" si="486"/>
        <v>-2.6602204200432311</v>
      </c>
      <c r="G613" s="101">
        <f t="shared" si="487"/>
        <v>-9.5622588786600689E-3</v>
      </c>
      <c r="H613" s="100">
        <f t="shared" si="488"/>
        <v>-2.6602204200432311</v>
      </c>
      <c r="I613" s="101">
        <f t="shared" si="489"/>
        <v>-9.5622588786600689E-3</v>
      </c>
      <c r="J613" s="100">
        <f t="shared" si="490"/>
        <v>-1.412694950236637E-2</v>
      </c>
      <c r="K613" s="101">
        <f t="shared" si="491"/>
        <v>-7.9851287176387915E-3</v>
      </c>
      <c r="L613" s="100">
        <f t="shared" si="492"/>
        <v>-1.412694950236637E-2</v>
      </c>
      <c r="M613" s="101">
        <f t="shared" si="493"/>
        <v>-7.9851287176387915E-3</v>
      </c>
    </row>
    <row r="614" spans="2:13" x14ac:dyDescent="0.2">
      <c r="B614" s="139" t="str">
        <f t="shared" si="494"/>
        <v>USL</v>
      </c>
      <c r="C614" s="100">
        <f t="shared" si="495"/>
        <v>-1</v>
      </c>
      <c r="D614" s="101">
        <f t="shared" si="496"/>
        <v>-1.020408163265306E-2</v>
      </c>
      <c r="E614" s="155" t="str">
        <f t="shared" si="497"/>
        <v>kWh</v>
      </c>
      <c r="F614" s="100">
        <f t="shared" si="486"/>
        <v>-6722.128825976979</v>
      </c>
      <c r="G614" s="101">
        <f t="shared" si="487"/>
        <v>-1.7909477856765308E-2</v>
      </c>
      <c r="H614" s="100">
        <f t="shared" si="488"/>
        <v>-5788.9342487761751</v>
      </c>
      <c r="I614" s="101">
        <f t="shared" si="489"/>
        <v>-1.5461649636712439E-2</v>
      </c>
      <c r="J614" s="100">
        <f t="shared" si="490"/>
        <v>-29.815846807646722</v>
      </c>
      <c r="K614" s="101">
        <f t="shared" si="491"/>
        <v>-7.7848332985875832E-3</v>
      </c>
      <c r="L614" s="100">
        <f t="shared" si="492"/>
        <v>-20.293453162740661</v>
      </c>
      <c r="M614" s="101">
        <f t="shared" si="493"/>
        <v>-5.31176973605997E-3</v>
      </c>
    </row>
    <row r="616" spans="2:13" x14ac:dyDescent="0.2">
      <c r="B616" s="47" t="str">
        <f>C619&amp;" vs "&amp;D619</f>
        <v>2023 Bridge vs 2024 Test</v>
      </c>
    </row>
    <row r="617" spans="2:13" x14ac:dyDescent="0.2">
      <c r="J617" s="156"/>
      <c r="K617" s="157"/>
    </row>
    <row r="618" spans="2:13" x14ac:dyDescent="0.2">
      <c r="B618" s="253" t="s">
        <v>207</v>
      </c>
      <c r="C618" s="251" t="s">
        <v>219</v>
      </c>
      <c r="D618" s="252"/>
      <c r="E618" s="253" t="s">
        <v>220</v>
      </c>
      <c r="F618" s="251" t="s">
        <v>221</v>
      </c>
      <c r="G618" s="252"/>
      <c r="H618" s="251" t="s">
        <v>225</v>
      </c>
      <c r="I618" s="252"/>
      <c r="J618" s="251" t="s">
        <v>222</v>
      </c>
      <c r="K618" s="252"/>
      <c r="L618" s="251" t="s">
        <v>224</v>
      </c>
      <c r="M618" s="252"/>
    </row>
    <row r="619" spans="2:13" x14ac:dyDescent="0.2">
      <c r="B619" s="253" t="s">
        <v>207</v>
      </c>
      <c r="C619" s="153" t="s">
        <v>155</v>
      </c>
      <c r="D619" s="153" t="s">
        <v>156</v>
      </c>
      <c r="E619" s="253" t="s">
        <v>214</v>
      </c>
      <c r="F619" s="153" t="str">
        <f>+C619</f>
        <v>2023 Bridge</v>
      </c>
      <c r="G619" s="153" t="str">
        <f>+D619</f>
        <v>2024 Test</v>
      </c>
      <c r="H619" s="153" t="str">
        <f>+F619</f>
        <v>2023 Bridge</v>
      </c>
      <c r="I619" s="153" t="str">
        <f>+G619</f>
        <v>2024 Test</v>
      </c>
      <c r="J619" s="153" t="str">
        <f t="shared" ref="J619" si="498">+H619</f>
        <v>2023 Bridge</v>
      </c>
      <c r="K619" s="153" t="str">
        <f t="shared" ref="K619" si="499">+I619</f>
        <v>2024 Test</v>
      </c>
      <c r="L619" s="153" t="str">
        <f t="shared" ref="L619" si="500">+J619</f>
        <v>2023 Bridge</v>
      </c>
      <c r="M619" s="153" t="str">
        <f t="shared" ref="M619" si="501">+K619</f>
        <v>2024 Test</v>
      </c>
    </row>
    <row r="620" spans="2:13" x14ac:dyDescent="0.2">
      <c r="B620" s="138" t="s">
        <v>100</v>
      </c>
      <c r="C620" s="57">
        <f>+D602</f>
        <v>11612.666666666666</v>
      </c>
      <c r="D620" s="57" cm="1">
        <f t="array" ref="D620:D625">TRANSPOSE(C62:H62)</f>
        <v>11740.5</v>
      </c>
      <c r="E620" s="100" t="s">
        <v>61</v>
      </c>
      <c r="F620" s="100">
        <f>+G602</f>
        <v>92245274.064317778</v>
      </c>
      <c r="G620" s="100">
        <f>+I620</f>
        <v>95562230.878257319</v>
      </c>
      <c r="H620" s="100">
        <f>+I602</f>
        <v>92245274.064317778</v>
      </c>
      <c r="I620" s="158">
        <f>+'Rate Class Energy Model'!H33</f>
        <v>95562230.878257319</v>
      </c>
      <c r="J620" s="100">
        <f>+F620/C620</f>
        <v>7943.5048565633315</v>
      </c>
      <c r="K620" s="100">
        <f t="shared" ref="K620:K625" si="502">+G620/D620</f>
        <v>8139.5367214562684</v>
      </c>
      <c r="L620" s="100">
        <f>+H620/C620</f>
        <v>7943.5048565633315</v>
      </c>
      <c r="M620" s="100">
        <f>+I620/D620</f>
        <v>8139.5367214562684</v>
      </c>
    </row>
    <row r="621" spans="2:13" x14ac:dyDescent="0.2">
      <c r="B621" s="138" t="s">
        <v>215</v>
      </c>
      <c r="C621" s="57">
        <f t="shared" ref="C621:C625" si="503">+D603</f>
        <v>1164.25</v>
      </c>
      <c r="D621" s="57">
        <v>1168.4834481663743</v>
      </c>
      <c r="E621" s="100" t="s">
        <v>61</v>
      </c>
      <c r="F621" s="100">
        <f t="shared" ref="F621:F625" si="504">+G603</f>
        <v>34781027.104293205</v>
      </c>
      <c r="G621" s="100">
        <f>+I621</f>
        <v>35768954.196158841</v>
      </c>
      <c r="H621" s="100">
        <f t="shared" ref="H621:H625" si="505">+I603</f>
        <v>34781027.104293205</v>
      </c>
      <c r="I621" s="158">
        <f>+'Rate Class Energy Model'!I33</f>
        <v>35768954.196158841</v>
      </c>
      <c r="J621" s="100">
        <f t="shared" ref="J621:J625" si="506">+F621/C621</f>
        <v>29874.191199736488</v>
      </c>
      <c r="K621" s="100">
        <f t="shared" si="502"/>
        <v>30611.434207552324</v>
      </c>
      <c r="L621" s="100">
        <f t="shared" ref="L621:L625" si="507">+H621/C621</f>
        <v>29874.191199736488</v>
      </c>
      <c r="M621" s="100">
        <f t="shared" ref="M621:M625" si="508">+I621/D621</f>
        <v>30611.434207552324</v>
      </c>
    </row>
    <row r="622" spans="2:13" x14ac:dyDescent="0.2">
      <c r="B622" s="138" t="s">
        <v>119</v>
      </c>
      <c r="C622" s="57">
        <f t="shared" si="503"/>
        <v>126</v>
      </c>
      <c r="D622" s="57">
        <v>126.13411514324987</v>
      </c>
      <c r="E622" s="155" t="s">
        <v>62</v>
      </c>
      <c r="F622" s="100">
        <f t="shared" si="504"/>
        <v>312958.84992735123</v>
      </c>
      <c r="G622" s="100">
        <f t="shared" ref="G622:G624" si="509">+N424</f>
        <v>317655.44335731986</v>
      </c>
      <c r="H622" s="100">
        <f t="shared" si="505"/>
        <v>312958.84992735123</v>
      </c>
      <c r="I622" s="158">
        <f t="shared" ref="I622:I623" si="510">+G622</f>
        <v>317655.44335731986</v>
      </c>
      <c r="J622" s="100">
        <f t="shared" si="506"/>
        <v>2483.8003962488192</v>
      </c>
      <c r="K622" s="100">
        <f t="shared" si="502"/>
        <v>2518.3943534749515</v>
      </c>
      <c r="L622" s="100">
        <f t="shared" si="507"/>
        <v>2483.8003962488192</v>
      </c>
      <c r="M622" s="100">
        <f t="shared" si="508"/>
        <v>2518.3943534749515</v>
      </c>
    </row>
    <row r="623" spans="2:13" x14ac:dyDescent="0.2">
      <c r="B623" s="138" t="s">
        <v>114</v>
      </c>
      <c r="C623" s="57">
        <f t="shared" si="503"/>
        <v>2963</v>
      </c>
      <c r="D623" s="57">
        <v>2974.135068550856</v>
      </c>
      <c r="E623" s="155" t="s">
        <v>62</v>
      </c>
      <c r="F623" s="100">
        <f t="shared" si="504"/>
        <v>2424.0839715283414</v>
      </c>
      <c r="G623" s="100">
        <f t="shared" si="509"/>
        <v>2415.7713744567136</v>
      </c>
      <c r="H623" s="100">
        <f t="shared" si="505"/>
        <v>2424.0839715283414</v>
      </c>
      <c r="I623" s="158">
        <f t="shared" si="510"/>
        <v>2415.7713744567136</v>
      </c>
      <c r="J623" s="100">
        <f t="shared" si="506"/>
        <v>0.81811811391439127</v>
      </c>
      <c r="K623" s="100">
        <f t="shared" si="502"/>
        <v>0.81226014245338074</v>
      </c>
      <c r="L623" s="100">
        <f t="shared" si="507"/>
        <v>0.81811811391439127</v>
      </c>
      <c r="M623" s="100">
        <f t="shared" si="508"/>
        <v>0.81226014245338074</v>
      </c>
    </row>
    <row r="624" spans="2:13" x14ac:dyDescent="0.2">
      <c r="B624" s="138" t="s">
        <v>68</v>
      </c>
      <c r="C624" s="57">
        <f t="shared" si="503"/>
        <v>157</v>
      </c>
      <c r="D624" s="57">
        <v>157.10035188815147</v>
      </c>
      <c r="E624" s="155" t="s">
        <v>62</v>
      </c>
      <c r="F624" s="100">
        <f t="shared" si="504"/>
        <v>275.53977957995676</v>
      </c>
      <c r="G624" s="100">
        <f t="shared" si="509"/>
        <v>275.71590019869365</v>
      </c>
      <c r="H624" s="100">
        <f t="shared" si="505"/>
        <v>275.53977957995676</v>
      </c>
      <c r="I624" s="158">
        <f>+G624</f>
        <v>275.71590019869365</v>
      </c>
      <c r="J624" s="100">
        <f t="shared" si="506"/>
        <v>1.7550304431844379</v>
      </c>
      <c r="K624" s="100">
        <f t="shared" si="502"/>
        <v>1.7550304431844381</v>
      </c>
      <c r="L624" s="100">
        <f t="shared" si="507"/>
        <v>1.7550304431844379</v>
      </c>
      <c r="M624" s="100">
        <f t="shared" si="508"/>
        <v>1.7550304431844381</v>
      </c>
    </row>
    <row r="625" spans="2:13" x14ac:dyDescent="0.2">
      <c r="B625" s="138" t="s">
        <v>168</v>
      </c>
      <c r="C625" s="57">
        <f t="shared" si="503"/>
        <v>97</v>
      </c>
      <c r="D625" s="57">
        <v>96.349640189523058</v>
      </c>
      <c r="E625" s="155" t="s">
        <v>61</v>
      </c>
      <c r="F625" s="100">
        <f t="shared" si="504"/>
        <v>368617.05636627553</v>
      </c>
      <c r="G625" s="100">
        <f>+I625</f>
        <v>366145.57472795661</v>
      </c>
      <c r="H625" s="100">
        <f t="shared" si="505"/>
        <v>368617.05636627553</v>
      </c>
      <c r="I625" s="158">
        <f>+'Rate Class Energy Model'!M33</f>
        <v>366145.57472795661</v>
      </c>
      <c r="J625" s="100">
        <f t="shared" si="506"/>
        <v>3800.175838827583</v>
      </c>
      <c r="K625" s="100">
        <f t="shared" si="502"/>
        <v>3800.1758388275834</v>
      </c>
      <c r="L625" s="100">
        <f t="shared" si="507"/>
        <v>3800.175838827583</v>
      </c>
      <c r="M625" s="100">
        <f t="shared" si="508"/>
        <v>3800.1758388275834</v>
      </c>
    </row>
    <row r="626" spans="2:13" x14ac:dyDescent="0.2">
      <c r="B626" s="153" t="s">
        <v>208</v>
      </c>
      <c r="C626" s="153" t="s">
        <v>227</v>
      </c>
      <c r="D626" s="153" t="s">
        <v>228</v>
      </c>
      <c r="E626" s="153"/>
      <c r="F626" s="153" t="s">
        <v>221</v>
      </c>
      <c r="G626" s="153" t="s">
        <v>228</v>
      </c>
      <c r="H626" s="153" t="str">
        <f>+F626</f>
        <v>Volume</v>
      </c>
      <c r="I626" s="153" t="str">
        <f>+G626</f>
        <v>%</v>
      </c>
      <c r="J626" s="153" t="str">
        <f t="shared" ref="J626" si="511">+H626</f>
        <v>Volume</v>
      </c>
      <c r="K626" s="153" t="str">
        <f t="shared" ref="K626" si="512">+I626</f>
        <v>%</v>
      </c>
      <c r="L626" s="153" t="str">
        <f t="shared" ref="L626" si="513">+J626</f>
        <v>Volume</v>
      </c>
      <c r="M626" s="153" t="str">
        <f t="shared" ref="M626" si="514">+K626</f>
        <v>%</v>
      </c>
    </row>
    <row r="627" spans="2:13" x14ac:dyDescent="0.2">
      <c r="B627" s="139" t="str">
        <f>+B620</f>
        <v>Residential</v>
      </c>
      <c r="C627" s="100">
        <f>+D620-C620</f>
        <v>127.83333333333394</v>
      </c>
      <c r="D627" s="101">
        <f>(D620-C620)/C620</f>
        <v>1.1008094609334688E-2</v>
      </c>
      <c r="E627" s="100" t="str">
        <f>+E620</f>
        <v>kWh</v>
      </c>
      <c r="F627" s="100">
        <f t="shared" ref="F627:F632" si="515">+G620-F620</f>
        <v>3316956.8139395416</v>
      </c>
      <c r="G627" s="101">
        <f t="shared" ref="G627:G632" si="516">(G620-F620)/F620</f>
        <v>3.5958013541450395E-2</v>
      </c>
      <c r="H627" s="100">
        <f t="shared" ref="H627:H632" si="517">+I620-H620</f>
        <v>3316956.8139395416</v>
      </c>
      <c r="I627" s="101">
        <f t="shared" ref="I627:I632" si="518">(I620-H620)/H620</f>
        <v>3.5958013541450395E-2</v>
      </c>
      <c r="J627" s="100">
        <f t="shared" ref="J627:J632" si="519">+K620-J620</f>
        <v>196.03186489293694</v>
      </c>
      <c r="K627" s="101">
        <f t="shared" ref="K627:K632" si="520">(K620-J620)/J620</f>
        <v>2.4678258329629565E-2</v>
      </c>
      <c r="L627" s="100">
        <f t="shared" ref="L627:L632" si="521">+M620-L620</f>
        <v>196.03186489293694</v>
      </c>
      <c r="M627" s="101">
        <f t="shared" ref="M627:M632" si="522">(M620-L620)/L620</f>
        <v>2.4678258329629565E-2</v>
      </c>
    </row>
    <row r="628" spans="2:13" x14ac:dyDescent="0.2">
      <c r="B628" s="139" t="str">
        <f t="shared" ref="B628:B632" si="523">+B621</f>
        <v>GS&lt;50 kW</v>
      </c>
      <c r="C628" s="100">
        <f t="shared" ref="C628:C632" si="524">+D621-C621</f>
        <v>4.2334481663742736</v>
      </c>
      <c r="D628" s="101">
        <f t="shared" ref="D628:D632" si="525">(D621-C621)/C621</f>
        <v>3.636201989584946E-3</v>
      </c>
      <c r="E628" s="100" t="str">
        <f t="shared" ref="E628:E632" si="526">+E621</f>
        <v>kWh</v>
      </c>
      <c r="F628" s="100">
        <f t="shared" si="515"/>
        <v>987927.09186563641</v>
      </c>
      <c r="G628" s="101">
        <f t="shared" si="516"/>
        <v>2.8404195451251966E-2</v>
      </c>
      <c r="H628" s="100">
        <f t="shared" si="517"/>
        <v>987927.09186563641</v>
      </c>
      <c r="I628" s="101">
        <f t="shared" si="518"/>
        <v>2.8404195451251966E-2</v>
      </c>
      <c r="J628" s="100">
        <f t="shared" si="519"/>
        <v>737.24300781583588</v>
      </c>
      <c r="K628" s="101">
        <f t="shared" si="520"/>
        <v>2.4678258329629318E-2</v>
      </c>
      <c r="L628" s="100">
        <f t="shared" si="521"/>
        <v>737.24300781583588</v>
      </c>
      <c r="M628" s="101">
        <f t="shared" si="522"/>
        <v>2.4678258329629318E-2</v>
      </c>
    </row>
    <row r="629" spans="2:13" x14ac:dyDescent="0.2">
      <c r="B629" s="139" t="str">
        <f t="shared" si="523"/>
        <v>GS&gt;50 kW</v>
      </c>
      <c r="C629" s="100">
        <f t="shared" si="524"/>
        <v>0.13411514324987195</v>
      </c>
      <c r="D629" s="101">
        <f t="shared" si="525"/>
        <v>1.0644058988085075E-3</v>
      </c>
      <c r="E629" s="155" t="str">
        <f t="shared" si="526"/>
        <v>kW</v>
      </c>
      <c r="F629" s="100">
        <f t="shared" si="515"/>
        <v>4696.5934299686342</v>
      </c>
      <c r="G629" s="101">
        <f t="shared" si="516"/>
        <v>1.5007063807458644E-2</v>
      </c>
      <c r="H629" s="100">
        <f t="shared" si="517"/>
        <v>4696.5934299686342</v>
      </c>
      <c r="I629" s="101">
        <f t="shared" si="518"/>
        <v>1.5007063807458644E-2</v>
      </c>
      <c r="J629" s="100">
        <f t="shared" si="519"/>
        <v>34.593957226132261</v>
      </c>
      <c r="K629" s="101">
        <f t="shared" si="520"/>
        <v>1.3927833041003649E-2</v>
      </c>
      <c r="L629" s="100">
        <f t="shared" si="521"/>
        <v>34.593957226132261</v>
      </c>
      <c r="M629" s="101">
        <f t="shared" si="522"/>
        <v>1.3927833041003649E-2</v>
      </c>
    </row>
    <row r="630" spans="2:13" x14ac:dyDescent="0.2">
      <c r="B630" s="139" t="str">
        <f t="shared" si="523"/>
        <v>Street Lighting</v>
      </c>
      <c r="C630" s="100">
        <f t="shared" si="524"/>
        <v>11.135068550855976</v>
      </c>
      <c r="D630" s="101">
        <f t="shared" si="525"/>
        <v>3.7580386604306368E-3</v>
      </c>
      <c r="E630" s="155" t="str">
        <f t="shared" si="526"/>
        <v>kW</v>
      </c>
      <c r="F630" s="100">
        <f t="shared" si="515"/>
        <v>-8.3125970716278061</v>
      </c>
      <c r="G630" s="101">
        <f t="shared" si="516"/>
        <v>-3.4291704286080744E-3</v>
      </c>
      <c r="H630" s="100">
        <f t="shared" si="517"/>
        <v>-8.3125970716278061</v>
      </c>
      <c r="I630" s="101">
        <f t="shared" si="518"/>
        <v>-3.4291704286080744E-3</v>
      </c>
      <c r="J630" s="100">
        <f t="shared" si="519"/>
        <v>-5.8579714610105249E-3</v>
      </c>
      <c r="K630" s="101">
        <f t="shared" si="520"/>
        <v>-7.1603004033027797E-3</v>
      </c>
      <c r="L630" s="100">
        <f t="shared" si="521"/>
        <v>-5.8579714610105249E-3</v>
      </c>
      <c r="M630" s="101">
        <f t="shared" si="522"/>
        <v>-7.1603004033027797E-3</v>
      </c>
    </row>
    <row r="631" spans="2:13" x14ac:dyDescent="0.2">
      <c r="B631" s="139" t="str">
        <f t="shared" si="523"/>
        <v>Sentinel Lights</v>
      </c>
      <c r="C631" s="100">
        <f t="shared" si="524"/>
        <v>0.10035188815146512</v>
      </c>
      <c r="D631" s="101">
        <f t="shared" si="525"/>
        <v>6.3918400096474597E-4</v>
      </c>
      <c r="E631" s="155" t="str">
        <f t="shared" si="526"/>
        <v>kW</v>
      </c>
      <c r="F631" s="100">
        <f t="shared" si="515"/>
        <v>0.17612061873688845</v>
      </c>
      <c r="G631" s="101">
        <f t="shared" si="516"/>
        <v>6.3918400096484571E-4</v>
      </c>
      <c r="H631" s="100">
        <f t="shared" si="517"/>
        <v>0.17612061873688845</v>
      </c>
      <c r="I631" s="101">
        <f t="shared" si="518"/>
        <v>6.3918400096484571E-4</v>
      </c>
      <c r="J631" s="100">
        <f t="shared" si="519"/>
        <v>0</v>
      </c>
      <c r="K631" s="101">
        <f t="shared" si="520"/>
        <v>1.2651894774095177E-16</v>
      </c>
      <c r="L631" s="100">
        <f t="shared" si="521"/>
        <v>0</v>
      </c>
      <c r="M631" s="101">
        <f t="shared" si="522"/>
        <v>1.2651894774095177E-16</v>
      </c>
    </row>
    <row r="632" spans="2:13" x14ac:dyDescent="0.2">
      <c r="B632" s="139" t="str">
        <f t="shared" si="523"/>
        <v>USL</v>
      </c>
      <c r="C632" s="100">
        <f t="shared" si="524"/>
        <v>-0.65035981047694236</v>
      </c>
      <c r="D632" s="101">
        <f t="shared" si="525"/>
        <v>-6.7047403141952816E-3</v>
      </c>
      <c r="E632" s="155" t="str">
        <f t="shared" si="526"/>
        <v>kWh</v>
      </c>
      <c r="F632" s="100">
        <f t="shared" si="515"/>
        <v>-2471.4816383189172</v>
      </c>
      <c r="G632" s="101">
        <f t="shared" si="516"/>
        <v>-6.7047403141951602E-3</v>
      </c>
      <c r="H632" s="100">
        <f t="shared" si="517"/>
        <v>-2471.4816383189172</v>
      </c>
      <c r="I632" s="101">
        <f t="shared" si="518"/>
        <v>-6.7047403141951602E-3</v>
      </c>
      <c r="J632" s="100">
        <f t="shared" si="519"/>
        <v>0</v>
      </c>
      <c r="K632" s="101">
        <f t="shared" si="520"/>
        <v>1.1966481820134966E-16</v>
      </c>
      <c r="L632" s="100">
        <f t="shared" si="521"/>
        <v>0</v>
      </c>
      <c r="M632" s="101">
        <f t="shared" si="522"/>
        <v>1.1966481820134966E-16</v>
      </c>
    </row>
    <row r="635" spans="2:13" x14ac:dyDescent="0.2">
      <c r="B635" t="s">
        <v>253</v>
      </c>
    </row>
    <row r="636" spans="2:13" ht="51" x14ac:dyDescent="0.2">
      <c r="B636" s="153" t="s">
        <v>111</v>
      </c>
      <c r="C636" s="153" t="s">
        <v>241</v>
      </c>
      <c r="D636" s="153" t="s">
        <v>242</v>
      </c>
      <c r="E636" s="153" t="s">
        <v>10</v>
      </c>
      <c r="F636" s="153" t="s">
        <v>243</v>
      </c>
      <c r="G636" s="153" t="s">
        <v>223</v>
      </c>
      <c r="H636" s="153" t="s">
        <v>244</v>
      </c>
    </row>
    <row r="637" spans="2:13" x14ac:dyDescent="0.2">
      <c r="B637" s="169">
        <v>2013</v>
      </c>
      <c r="C637" s="170">
        <f>+'Purchd Power Model Weather norm'!D152/1000000</f>
        <v>253.79453228605215</v>
      </c>
      <c r="D637" s="171">
        <f>+'Purchased Power Model'!L152/1000000</f>
        <v>251.05741886621658</v>
      </c>
      <c r="E637" s="172">
        <f>(D637-C637)/C637</f>
        <v>-1.0784761181342402E-2</v>
      </c>
      <c r="F637" s="171">
        <f>+'Purchd Power Model Weather norm'!L152/1000000</f>
        <v>252.09907563800726</v>
      </c>
      <c r="G637" s="173">
        <f>+F637/D637</f>
        <v>1.0041490778344446</v>
      </c>
      <c r="H637" s="174"/>
    </row>
    <row r="638" spans="2:13" x14ac:dyDescent="0.2">
      <c r="B638" s="169">
        <f>+B637+1</f>
        <v>2014</v>
      </c>
      <c r="C638" s="170">
        <f>+'Purchd Power Model Weather norm'!D153/1000000</f>
        <v>256.46367528359121</v>
      </c>
      <c r="D638" s="171">
        <f>+'Purchased Power Model'!L153/1000000</f>
        <v>253.26128600769246</v>
      </c>
      <c r="E638" s="172">
        <f t="shared" ref="E638:E646" si="527">(D638-C638)/C638</f>
        <v>-1.2486716773272588E-2</v>
      </c>
      <c r="F638" s="171">
        <f>+'Purchd Power Model Weather norm'!L153/1000000</f>
        <v>254.27843687288382</v>
      </c>
      <c r="G638" s="173">
        <f t="shared" ref="G638:G648" si="528">+F638/D638</f>
        <v>1.0040162114045352</v>
      </c>
      <c r="H638" s="174"/>
    </row>
    <row r="639" spans="2:13" x14ac:dyDescent="0.2">
      <c r="B639" s="169">
        <f t="shared" ref="B639:B646" si="529">+B638+1</f>
        <v>2015</v>
      </c>
      <c r="C639" s="170">
        <f>+'Purchd Power Model Weather norm'!D154/1000000</f>
        <v>256.37468863650929</v>
      </c>
      <c r="D639" s="171">
        <f>+'Purchased Power Model'!L154/1000000</f>
        <v>255.60632681527585</v>
      </c>
      <c r="E639" s="172">
        <f t="shared" si="527"/>
        <v>-2.9970268333424765E-3</v>
      </c>
      <c r="F639" s="171">
        <f>+'Purchd Power Model Weather norm'!L154/1000000</f>
        <v>256.45779810776042</v>
      </c>
      <c r="G639" s="173">
        <f t="shared" si="528"/>
        <v>1.0033311823814905</v>
      </c>
      <c r="H639" s="174"/>
    </row>
    <row r="640" spans="2:13" x14ac:dyDescent="0.2">
      <c r="B640" s="169">
        <f t="shared" si="529"/>
        <v>2016</v>
      </c>
      <c r="C640" s="170">
        <f>+'Purchd Power Model Weather norm'!D155/1000000</f>
        <v>259.21001863999999</v>
      </c>
      <c r="D640" s="171">
        <f>+'Purchased Power Model'!L155/1000000</f>
        <v>261.70464209960898</v>
      </c>
      <c r="E640" s="172">
        <f t="shared" si="527"/>
        <v>9.6239469164716551E-3</v>
      </c>
      <c r="F640" s="171">
        <f>+'Purchd Power Model Weather norm'!L155/1000000</f>
        <v>259.05772737037853</v>
      </c>
      <c r="G640" s="173">
        <f t="shared" si="528"/>
        <v>0.9898858701626585</v>
      </c>
      <c r="H640" s="174"/>
    </row>
    <row r="641" spans="2:8" x14ac:dyDescent="0.2">
      <c r="B641" s="169">
        <f t="shared" si="529"/>
        <v>2017</v>
      </c>
      <c r="C641" s="170">
        <f>+'Purchd Power Model Weather norm'!D156/1000000</f>
        <v>254.04836690000002</v>
      </c>
      <c r="D641" s="171">
        <f>+'Purchased Power Model'!L156/1000000</f>
        <v>258.27766621120611</v>
      </c>
      <c r="E641" s="172">
        <f t="shared" si="527"/>
        <v>1.6647614636589467E-2</v>
      </c>
      <c r="F641" s="171">
        <f>+'Purchd Power Model Weather norm'!L156/1000000</f>
        <v>260.63921859064908</v>
      </c>
      <c r="G641" s="173">
        <f t="shared" si="528"/>
        <v>1.0091434633667156</v>
      </c>
      <c r="H641" s="174"/>
    </row>
    <row r="642" spans="2:8" x14ac:dyDescent="0.2">
      <c r="B642" s="169">
        <f t="shared" si="529"/>
        <v>2018</v>
      </c>
      <c r="C642" s="170">
        <f>+'Purchd Power Model Weather norm'!D157/1000000</f>
        <v>266.47325597205048</v>
      </c>
      <c r="D642" s="171">
        <f>+'Purchased Power Model'!L157/1000000</f>
        <v>266.21841234054421</v>
      </c>
      <c r="E642" s="172">
        <f t="shared" si="527"/>
        <v>-9.5635725460196128E-4</v>
      </c>
      <c r="F642" s="171">
        <f>+'Purchd Power Model Weather norm'!L157/1000000</f>
        <v>262.99588181239</v>
      </c>
      <c r="G642" s="173">
        <f t="shared" si="528"/>
        <v>0.98789516284834578</v>
      </c>
      <c r="H642" s="174"/>
    </row>
    <row r="643" spans="2:8" x14ac:dyDescent="0.2">
      <c r="B643" s="169">
        <f t="shared" si="529"/>
        <v>2019</v>
      </c>
      <c r="C643" s="170">
        <f>+'Purchd Power Model Weather norm'!D158/1000000</f>
        <v>261.98535356000002</v>
      </c>
      <c r="D643" s="171">
        <f>+'Purchased Power Model'!L158/1000000</f>
        <v>265.01925776105963</v>
      </c>
      <c r="E643" s="172">
        <f t="shared" si="527"/>
        <v>1.1580434401516217E-2</v>
      </c>
      <c r="F643" s="171">
        <f>+'Purchd Power Model Weather norm'!L158/1000000</f>
        <v>265.17524304726652</v>
      </c>
      <c r="G643" s="173">
        <f t="shared" si="528"/>
        <v>1.000588580948889</v>
      </c>
      <c r="H643" s="174"/>
    </row>
    <row r="644" spans="2:8" x14ac:dyDescent="0.2">
      <c r="B644" s="169">
        <f t="shared" si="529"/>
        <v>2020</v>
      </c>
      <c r="C644" s="170">
        <f>+'Purchd Power Model Weather norm'!D159/1000000</f>
        <v>263.49093020000004</v>
      </c>
      <c r="D644" s="171">
        <f>+'Purchased Power Model'!L159/1000000</f>
        <v>266.88494806330311</v>
      </c>
      <c r="E644" s="172">
        <f t="shared" si="527"/>
        <v>1.2880966569615444E-2</v>
      </c>
      <c r="F644" s="171">
        <f>+'Purchd Power Model Weather norm'!L159/1000000</f>
        <v>265.63101592771773</v>
      </c>
      <c r="G644" s="173">
        <f t="shared" si="528"/>
        <v>0.995301600391162</v>
      </c>
      <c r="H644" s="174"/>
    </row>
    <row r="645" spans="2:8" x14ac:dyDescent="0.2">
      <c r="B645" s="169">
        <f t="shared" si="529"/>
        <v>2021</v>
      </c>
      <c r="C645" s="170">
        <f>+'Purchd Power Model Weather norm'!D160/1000000</f>
        <v>268.72792199999992</v>
      </c>
      <c r="D645" s="171">
        <f>+'Purchased Power Model'!L160/1000000</f>
        <v>268.9385346493134</v>
      </c>
      <c r="E645" s="172">
        <f t="shared" si="527"/>
        <v>7.8373935892480609E-4</v>
      </c>
      <c r="F645" s="171">
        <f>+'Purchd Power Model Weather norm'!L160/1000000</f>
        <v>269.53396551701962</v>
      </c>
      <c r="G645" s="173">
        <f t="shared" si="528"/>
        <v>1.002214003539815</v>
      </c>
      <c r="H645" s="174"/>
    </row>
    <row r="646" spans="2:8" x14ac:dyDescent="0.2">
      <c r="B646" s="169">
        <f t="shared" si="529"/>
        <v>2022</v>
      </c>
      <c r="C646" s="170">
        <f>+'Purchd Power Model Weather norm'!D161/1000000</f>
        <v>275.95813994408911</v>
      </c>
      <c r="D646" s="171">
        <f>+'Purchased Power Model'!L161/1000000</f>
        <v>272.21281934678808</v>
      </c>
      <c r="E646" s="172">
        <f t="shared" si="527"/>
        <v>-1.3572060596073946E-2</v>
      </c>
      <c r="F646" s="171">
        <f>+'Purchd Power Model Weather norm'!L161/1000000</f>
        <v>271.53602476503175</v>
      </c>
      <c r="G646" s="173">
        <f t="shared" si="528"/>
        <v>0.99751372994343035</v>
      </c>
      <c r="H646" s="174"/>
    </row>
    <row r="647" spans="2:8" x14ac:dyDescent="0.2">
      <c r="B647" s="175" t="s">
        <v>155</v>
      </c>
      <c r="C647" s="170"/>
      <c r="D647" s="171">
        <f>+'Purchased Power Model'!L162/1000000</f>
        <v>270.0063549325547</v>
      </c>
      <c r="E647" s="174"/>
      <c r="F647" s="171">
        <f>+'Purchd Power Model Weather norm'!L162/1000000</f>
        <v>273.71538599990834</v>
      </c>
      <c r="G647" s="173">
        <f t="shared" si="528"/>
        <v>1.0137368287804933</v>
      </c>
      <c r="H647" s="174"/>
    </row>
    <row r="648" spans="2:8" x14ac:dyDescent="0.2">
      <c r="B648" s="175" t="s">
        <v>156</v>
      </c>
      <c r="C648" s="170"/>
      <c r="D648" s="171">
        <f>+'Purchased Power Model'!L163/1000000</f>
        <v>276.66991923625523</v>
      </c>
      <c r="E648" s="174"/>
      <c r="F648" s="171">
        <f>+'Purchd Power Model Weather norm'!L163/1000000</f>
        <v>276.66991923625523</v>
      </c>
      <c r="G648" s="173">
        <f t="shared" si="528"/>
        <v>1</v>
      </c>
      <c r="H648" s="174"/>
    </row>
    <row r="650" spans="2:8" ht="25.5" x14ac:dyDescent="0.2">
      <c r="B650" s="176" t="s">
        <v>207</v>
      </c>
      <c r="C650" s="176" t="s">
        <v>245</v>
      </c>
    </row>
    <row r="651" spans="2:8" x14ac:dyDescent="0.2">
      <c r="B651" s="174" t="str">
        <f>+B627</f>
        <v>Residential</v>
      </c>
      <c r="C651" s="177">
        <f>+'Rate Class Energy Model'!H35</f>
        <v>0.72</v>
      </c>
    </row>
    <row r="652" spans="2:8" x14ac:dyDescent="0.2">
      <c r="B652" s="174" t="str">
        <f t="shared" ref="B652:B656" si="530">+B628</f>
        <v>GS&lt;50 kW</v>
      </c>
      <c r="C652" s="177">
        <f>+'Rate Class Energy Model'!I35</f>
        <v>0.72</v>
      </c>
    </row>
    <row r="653" spans="2:8" x14ac:dyDescent="0.2">
      <c r="B653" s="174" t="str">
        <f t="shared" si="530"/>
        <v>GS&gt;50 kW</v>
      </c>
      <c r="C653" s="177">
        <f>+'Rate Class Energy Model'!J35</f>
        <v>0.44</v>
      </c>
    </row>
    <row r="654" spans="2:8" x14ac:dyDescent="0.2">
      <c r="B654" s="174" t="str">
        <f t="shared" si="530"/>
        <v>Street Lighting</v>
      </c>
      <c r="C654" s="177">
        <v>0</v>
      </c>
    </row>
    <row r="655" spans="2:8" x14ac:dyDescent="0.2">
      <c r="B655" s="174" t="str">
        <f t="shared" si="530"/>
        <v>Sentinel Lights</v>
      </c>
      <c r="C655" s="177">
        <v>0</v>
      </c>
    </row>
    <row r="656" spans="2:8" x14ac:dyDescent="0.2">
      <c r="B656" s="174" t="str">
        <f t="shared" si="530"/>
        <v>USL</v>
      </c>
      <c r="C656" s="177">
        <v>0</v>
      </c>
    </row>
    <row r="659" spans="2:8" ht="63.75" x14ac:dyDescent="0.2">
      <c r="B659" s="176" t="s">
        <v>207</v>
      </c>
      <c r="C659" s="176" t="s">
        <v>246</v>
      </c>
      <c r="D659" s="176" t="s">
        <v>247</v>
      </c>
      <c r="E659" s="176" t="s">
        <v>248</v>
      </c>
      <c r="F659" s="176" t="s">
        <v>249</v>
      </c>
      <c r="G659" s="176" t="s">
        <v>250</v>
      </c>
      <c r="H659" s="176" t="s">
        <v>251</v>
      </c>
    </row>
    <row r="660" spans="2:8" x14ac:dyDescent="0.2">
      <c r="B660" s="174" t="str">
        <f>+B651</f>
        <v>Residential</v>
      </c>
      <c r="C660" s="178">
        <f>+'Rate Class Energy Model'!H28/1000000</f>
        <v>92.83738117278854</v>
      </c>
      <c r="D660" s="179">
        <f>+E660-C660</f>
        <v>-0.59210710847075632</v>
      </c>
      <c r="E660" s="178">
        <f>+'Rate Class Energy Model'!H32/1000000</f>
        <v>92.245274064317783</v>
      </c>
      <c r="F660" s="178">
        <f>+'Rate Class Energy Model'!H29/1000000</f>
        <v>93.859343848021467</v>
      </c>
      <c r="G660" s="179">
        <f t="shared" ref="G660:G665" si="531">+H660-F660</f>
        <v>1.702887030235857</v>
      </c>
      <c r="H660" s="178">
        <f>+'Rate Class Energy Model'!H33/1000000</f>
        <v>95.562230878257324</v>
      </c>
    </row>
    <row r="661" spans="2:8" x14ac:dyDescent="0.2">
      <c r="B661" s="174" t="str">
        <f t="shared" ref="B661:B665" si="532">+B652</f>
        <v>GS&lt;50 kW</v>
      </c>
      <c r="C661" s="178">
        <f>+'Rate Class Energy Model'!I28/1000000</f>
        <v>35.004280746252213</v>
      </c>
      <c r="D661" s="179">
        <f t="shared" ref="D661:D665" si="533">+E661-C661</f>
        <v>-0.22325364195901187</v>
      </c>
      <c r="E661" s="178">
        <f>+'Rate Class Energy Model'!I32/1000000</f>
        <v>34.781027104293202</v>
      </c>
      <c r="F661" s="178">
        <f>+'Rate Class Energy Model'!I29/1000000</f>
        <v>35.131563381545725</v>
      </c>
      <c r="G661" s="179">
        <f t="shared" si="531"/>
        <v>0.63739081461311997</v>
      </c>
      <c r="H661" s="178">
        <f>+'Rate Class Energy Model'!I33/1000000</f>
        <v>35.768954196158845</v>
      </c>
    </row>
    <row r="662" spans="2:8" x14ac:dyDescent="0.2">
      <c r="B662" s="174" t="str">
        <f t="shared" si="532"/>
        <v>GS&gt;50 kW</v>
      </c>
      <c r="C662" s="178">
        <f>+'Rate Class Energy Model'!J28/1000000</f>
        <v>133.5300423157079</v>
      </c>
      <c r="D662" s="179">
        <f t="shared" si="533"/>
        <v>-0.52044706127719564</v>
      </c>
      <c r="E662" s="178">
        <f>+'Rate Class Energy Model'!J32/1000000</f>
        <v>133.00959525443071</v>
      </c>
      <c r="F662" s="178">
        <f>+'Rate Class Energy Model'!J29/1000000</f>
        <v>133.67217248041689</v>
      </c>
      <c r="G662" s="179">
        <f t="shared" si="531"/>
        <v>1.4820727095868733</v>
      </c>
      <c r="H662" s="178">
        <f>+'Rate Class Energy Model'!J33/1000000</f>
        <v>135.15424519000376</v>
      </c>
    </row>
    <row r="663" spans="2:8" x14ac:dyDescent="0.2">
      <c r="B663" s="174" t="str">
        <f t="shared" si="532"/>
        <v>Street Lighting</v>
      </c>
      <c r="C663" s="178">
        <f>+'Rate Class Energy Model'!K28/1000000</f>
        <v>0.86427066831874</v>
      </c>
      <c r="D663" s="179">
        <f t="shared" si="533"/>
        <v>0</v>
      </c>
      <c r="E663" s="178">
        <f>+'Rate Class Energy Model'!K32/1000000</f>
        <v>0.86427066831874</v>
      </c>
      <c r="F663" s="179">
        <f>+'Rate Class Energy Model'!K29/1000000</f>
        <v>0.86751863090335812</v>
      </c>
      <c r="G663" s="179">
        <f t="shared" si="531"/>
        <v>0</v>
      </c>
      <c r="H663" s="178">
        <f>+'Rate Class Energy Model'!K33/1000000</f>
        <v>0.86751863090335812</v>
      </c>
    </row>
    <row r="664" spans="2:8" x14ac:dyDescent="0.2">
      <c r="B664" s="174" t="str">
        <f t="shared" si="532"/>
        <v>Sentinel Lights</v>
      </c>
      <c r="C664" s="178">
        <f>+'Rate Class Energy Model'!L28/1000000</f>
        <v>9.9127487835130215E-2</v>
      </c>
      <c r="D664" s="179">
        <f t="shared" si="533"/>
        <v>0</v>
      </c>
      <c r="E664" s="178">
        <f>+'Rate Class Energy Model'!L32/1000000</f>
        <v>9.9127487835130215E-2</v>
      </c>
      <c r="F664" s="179">
        <f>+'Rate Class Energy Model'!L29/1000000</f>
        <v>9.9190848539410265E-2</v>
      </c>
      <c r="G664" s="179">
        <f t="shared" si="531"/>
        <v>0</v>
      </c>
      <c r="H664" s="178">
        <f>+'Rate Class Energy Model'!L33/1000000</f>
        <v>9.9190848539410265E-2</v>
      </c>
    </row>
    <row r="665" spans="2:8" x14ac:dyDescent="0.2">
      <c r="B665" s="174" t="str">
        <f t="shared" si="532"/>
        <v>USL</v>
      </c>
      <c r="C665" s="178">
        <f>+'Rate Class Energy Model'!M28/1000000</f>
        <v>0.36861705636627551</v>
      </c>
      <c r="D665" s="179">
        <f t="shared" si="533"/>
        <v>0</v>
      </c>
      <c r="E665" s="178">
        <f>+'Rate Class Energy Model'!M32/1000000</f>
        <v>0.36861705636627551</v>
      </c>
      <c r="F665" s="179">
        <f>+'Rate Class Energy Model'!M29/1000000</f>
        <v>0.36614557472795661</v>
      </c>
      <c r="G665" s="179">
        <f t="shared" si="531"/>
        <v>0</v>
      </c>
      <c r="H665" s="178">
        <f>+'Rate Class Energy Model'!M33/1000000</f>
        <v>0.36614557472795661</v>
      </c>
    </row>
    <row r="667" spans="2:8" x14ac:dyDescent="0.2">
      <c r="B667" s="189" t="s">
        <v>256</v>
      </c>
    </row>
    <row r="668" spans="2:8" ht="25.5" x14ac:dyDescent="0.2">
      <c r="B668" s="190" t="s">
        <v>257</v>
      </c>
      <c r="C668" s="190" t="s">
        <v>185</v>
      </c>
      <c r="D668" s="190" t="s">
        <v>239</v>
      </c>
      <c r="E668" s="190" t="s">
        <v>208</v>
      </c>
      <c r="F668" s="190" t="s">
        <v>14</v>
      </c>
    </row>
    <row r="669" spans="2:8" x14ac:dyDescent="0.2">
      <c r="B669" s="174" t="str">
        <f>+B651</f>
        <v>Residential</v>
      </c>
      <c r="C669" s="191">
        <f>+C440</f>
        <v>10325</v>
      </c>
      <c r="D669" s="191">
        <f>+D620</f>
        <v>11740.5</v>
      </c>
      <c r="E669" s="191">
        <f>+D669-C669</f>
        <v>1415.5</v>
      </c>
      <c r="F669" s="192">
        <f t="shared" ref="F669" si="534">IF(D669=0,0,E669/D669)</f>
        <v>0.12056556364720412</v>
      </c>
    </row>
    <row r="670" spans="2:8" x14ac:dyDescent="0.2">
      <c r="B670" s="174" t="str">
        <f t="shared" ref="B670:B674" si="535">+B652</f>
        <v>GS&lt;50 kW</v>
      </c>
      <c r="C670" s="191">
        <f t="shared" ref="C670:C674" si="536">+C441</f>
        <v>1141</v>
      </c>
      <c r="D670" s="191">
        <f t="shared" ref="D670:D674" si="537">+D621</f>
        <v>1168.4834481663743</v>
      </c>
      <c r="E670" s="191">
        <f t="shared" ref="E670:E675" si="538">+D670-C670</f>
        <v>27.483448166374274</v>
      </c>
      <c r="F670" s="192">
        <f t="shared" ref="F670:F671" si="539">IF(D670=0,0,E670/D670)</f>
        <v>2.3520614014261199E-2</v>
      </c>
    </row>
    <row r="671" spans="2:8" x14ac:dyDescent="0.2">
      <c r="B671" s="174" t="str">
        <f t="shared" si="535"/>
        <v>GS&gt;50 kW</v>
      </c>
      <c r="C671" s="191">
        <f t="shared" si="536"/>
        <v>124</v>
      </c>
      <c r="D671" s="191">
        <f t="shared" si="537"/>
        <v>126.13411514324987</v>
      </c>
      <c r="E671" s="191">
        <f t="shared" si="538"/>
        <v>2.1341151432498719</v>
      </c>
      <c r="F671" s="192">
        <f t="shared" si="539"/>
        <v>1.6919412649196202E-2</v>
      </c>
    </row>
    <row r="672" spans="2:8" x14ac:dyDescent="0.2">
      <c r="B672" s="174" t="str">
        <f t="shared" si="535"/>
        <v>Street Lighting</v>
      </c>
      <c r="C672" s="191">
        <f t="shared" si="536"/>
        <v>2870</v>
      </c>
      <c r="D672" s="191">
        <f t="shared" si="537"/>
        <v>2974.135068550856</v>
      </c>
      <c r="E672" s="191">
        <f t="shared" si="538"/>
        <v>104.13506855085598</v>
      </c>
      <c r="F672" s="192">
        <f t="shared" ref="F672:F675" si="540">IF(D672=0,0,E672/D672)</f>
        <v>3.5013563994454253E-2</v>
      </c>
    </row>
    <row r="673" spans="2:6" x14ac:dyDescent="0.2">
      <c r="B673" s="174" t="str">
        <f t="shared" si="535"/>
        <v>Sentinel Lights</v>
      </c>
      <c r="C673" s="191">
        <f t="shared" si="536"/>
        <v>155</v>
      </c>
      <c r="D673" s="191">
        <f t="shared" si="537"/>
        <v>157.10035188815147</v>
      </c>
      <c r="E673" s="191">
        <f t="shared" si="538"/>
        <v>2.1003518881514651</v>
      </c>
      <c r="F673" s="192">
        <f t="shared" si="540"/>
        <v>1.336949193880115E-2</v>
      </c>
    </row>
    <row r="674" spans="2:6" x14ac:dyDescent="0.2">
      <c r="B674" s="174" t="str">
        <f t="shared" si="535"/>
        <v>USL</v>
      </c>
      <c r="C674" s="191">
        <f t="shared" si="536"/>
        <v>104</v>
      </c>
      <c r="D674" s="191">
        <f t="shared" si="537"/>
        <v>96.349640189523058</v>
      </c>
      <c r="E674" s="191">
        <f t="shared" si="538"/>
        <v>-7.6503598104769424</v>
      </c>
      <c r="F674" s="192">
        <f t="shared" si="540"/>
        <v>-7.9402058953499166E-2</v>
      </c>
    </row>
    <row r="675" spans="2:6" x14ac:dyDescent="0.2">
      <c r="B675" s="174" t="s">
        <v>11</v>
      </c>
      <c r="C675" s="193">
        <f>SUM(C669:C674)</f>
        <v>14719</v>
      </c>
      <c r="D675" s="193">
        <f t="shared" ref="D675" si="541">SUM(D669:D674)</f>
        <v>16262.702623938154</v>
      </c>
      <c r="E675" s="191">
        <f t="shared" si="538"/>
        <v>1543.7026239381539</v>
      </c>
      <c r="F675" s="192">
        <f t="shared" si="540"/>
        <v>9.4922883338337344E-2</v>
      </c>
    </row>
    <row r="677" spans="2:6" x14ac:dyDescent="0.2">
      <c r="B677" t="s">
        <v>258</v>
      </c>
    </row>
    <row r="678" spans="2:6" ht="25.5" x14ac:dyDescent="0.2">
      <c r="B678" s="190" t="s">
        <v>257</v>
      </c>
      <c r="C678" s="190" t="s">
        <v>185</v>
      </c>
      <c r="D678" s="190" t="s">
        <v>239</v>
      </c>
      <c r="E678" s="190" t="s">
        <v>208</v>
      </c>
      <c r="F678" s="190" t="s">
        <v>14</v>
      </c>
    </row>
    <row r="679" spans="2:6" x14ac:dyDescent="0.2">
      <c r="B679" s="174" t="str">
        <f>+B669</f>
        <v>Residential</v>
      </c>
      <c r="C679" s="191">
        <f>+F440</f>
        <v>90278404</v>
      </c>
      <c r="D679" s="191">
        <f>+D630</f>
        <v>3.7580386604306368E-3</v>
      </c>
      <c r="E679" s="191">
        <f>+D679-C679</f>
        <v>-90278403.996241957</v>
      </c>
      <c r="F679" s="192">
        <f t="shared" ref="F679:F685" si="542">IF(D679=0,0,E679/D679)</f>
        <v>-24022744882.006317</v>
      </c>
    </row>
    <row r="680" spans="2:6" x14ac:dyDescent="0.2">
      <c r="B680" s="174" t="str">
        <f t="shared" ref="B680:B684" si="543">+B670</f>
        <v>GS&lt;50 kW</v>
      </c>
      <c r="C680" s="191">
        <f t="shared" ref="C680:C684" si="544">+C451</f>
        <v>-2.8333333333333428</v>
      </c>
      <c r="D680" s="191">
        <f t="shared" ref="D680:D684" si="545">+D631</f>
        <v>6.3918400096474597E-4</v>
      </c>
      <c r="E680" s="191">
        <f t="shared" ref="E680:E685" si="546">+D680-C680</f>
        <v>2.8339725173343076</v>
      </c>
      <c r="F680" s="192">
        <f t="shared" si="542"/>
        <v>4433.7350638577927</v>
      </c>
    </row>
    <row r="681" spans="2:6" x14ac:dyDescent="0.2">
      <c r="B681" s="174" t="str">
        <f t="shared" si="543"/>
        <v>GS&gt;50 kW</v>
      </c>
      <c r="C681" s="191">
        <f t="shared" si="544"/>
        <v>0</v>
      </c>
      <c r="D681" s="191">
        <f t="shared" si="545"/>
        <v>-6.7047403141952816E-3</v>
      </c>
      <c r="E681" s="191">
        <f t="shared" si="546"/>
        <v>-6.7047403141952816E-3</v>
      </c>
      <c r="F681" s="192">
        <f t="shared" si="542"/>
        <v>1</v>
      </c>
    </row>
    <row r="682" spans="2:6" x14ac:dyDescent="0.2">
      <c r="B682" s="174" t="str">
        <f t="shared" si="543"/>
        <v>Street Lighting</v>
      </c>
      <c r="C682" s="191">
        <f t="shared" si="544"/>
        <v>0</v>
      </c>
      <c r="D682" s="191">
        <f t="shared" si="545"/>
        <v>0</v>
      </c>
      <c r="E682" s="191">
        <f t="shared" si="546"/>
        <v>0</v>
      </c>
      <c r="F682" s="192">
        <f t="shared" si="542"/>
        <v>0</v>
      </c>
    </row>
    <row r="683" spans="2:6" x14ac:dyDescent="0.2">
      <c r="B683" s="174" t="str">
        <f t="shared" si="543"/>
        <v>Sentinel Lights</v>
      </c>
      <c r="C683" s="191">
        <f t="shared" si="544"/>
        <v>0</v>
      </c>
      <c r="D683" s="191">
        <f t="shared" si="545"/>
        <v>0</v>
      </c>
      <c r="E683" s="191">
        <f t="shared" si="546"/>
        <v>0</v>
      </c>
      <c r="F683" s="192">
        <f t="shared" si="542"/>
        <v>0</v>
      </c>
    </row>
    <row r="684" spans="2:6" x14ac:dyDescent="0.2">
      <c r="B684" s="174" t="str">
        <f t="shared" si="543"/>
        <v>USL</v>
      </c>
      <c r="C684" s="191">
        <f t="shared" si="544"/>
        <v>0</v>
      </c>
      <c r="D684" s="191">
        <f t="shared" si="545"/>
        <v>0</v>
      </c>
      <c r="E684" s="191">
        <f t="shared" si="546"/>
        <v>0</v>
      </c>
      <c r="F684" s="192">
        <f t="shared" si="542"/>
        <v>0</v>
      </c>
    </row>
    <row r="685" spans="2:6" x14ac:dyDescent="0.2">
      <c r="B685" s="174" t="s">
        <v>11</v>
      </c>
      <c r="C685" s="193">
        <f>SUM(C679:C684)</f>
        <v>90278401.166666672</v>
      </c>
      <c r="D685" s="193">
        <f t="shared" ref="D685" si="547">SUM(D679:D684)</f>
        <v>-2.3075176527998986E-3</v>
      </c>
      <c r="E685" s="191">
        <f t="shared" si="546"/>
        <v>-90278401.168974191</v>
      </c>
      <c r="F685" s="192">
        <f t="shared" si="542"/>
        <v>39123601528.868942</v>
      </c>
    </row>
    <row r="688" spans="2:6" ht="25.5" x14ac:dyDescent="0.2">
      <c r="B688" s="190" t="s">
        <v>111</v>
      </c>
      <c r="C688" s="190" t="s">
        <v>261</v>
      </c>
      <c r="D688" s="190" t="s">
        <v>264</v>
      </c>
      <c r="E688" t="str">
        <f>+"2013"&amp;"12"</f>
        <v>201312</v>
      </c>
      <c r="F688">
        <f>SUMIF(Inputs!A:A,Summaries!E688,Inputs!Q:Q)</f>
        <v>10261</v>
      </c>
    </row>
    <row r="689" spans="2:6" x14ac:dyDescent="0.2">
      <c r="B689" s="174">
        <v>2014</v>
      </c>
      <c r="C689" s="191">
        <f>+F689-F688</f>
        <v>146</v>
      </c>
      <c r="D689" s="208">
        <f>+C689/F688</f>
        <v>1.4228632686872624E-2</v>
      </c>
      <c r="E689" t="str">
        <f t="shared" ref="E689:E699" si="548">+B689&amp;"12"</f>
        <v>201412</v>
      </c>
      <c r="F689">
        <f>SUMIF(Inputs!A:A,Summaries!E689,Inputs!Q:Q)</f>
        <v>10407</v>
      </c>
    </row>
    <row r="690" spans="2:6" x14ac:dyDescent="0.2">
      <c r="B690" s="174">
        <v>2015</v>
      </c>
      <c r="C690" s="191">
        <f t="shared" ref="C690:C699" si="549">+F690-F689</f>
        <v>163</v>
      </c>
      <c r="D690" s="208">
        <f t="shared" ref="D690:D699" si="550">+C690/F689</f>
        <v>1.5662534832324396E-2</v>
      </c>
      <c r="E690" t="str">
        <f t="shared" si="548"/>
        <v>201512</v>
      </c>
      <c r="F690">
        <f>SUMIF(Inputs!A:A,Summaries!E690,Inputs!Q:Q)</f>
        <v>10570</v>
      </c>
    </row>
    <row r="691" spans="2:6" x14ac:dyDescent="0.2">
      <c r="B691" s="174">
        <v>2016</v>
      </c>
      <c r="C691" s="191">
        <f t="shared" si="549"/>
        <v>160</v>
      </c>
      <c r="D691" s="208">
        <f t="shared" si="550"/>
        <v>1.5137180700094607E-2</v>
      </c>
      <c r="E691" t="str">
        <f t="shared" si="548"/>
        <v>201612</v>
      </c>
      <c r="F691">
        <f>SUMIF(Inputs!A:A,Summaries!E691,Inputs!Q:Q)</f>
        <v>10730</v>
      </c>
    </row>
    <row r="692" spans="2:6" x14ac:dyDescent="0.2">
      <c r="B692" s="174">
        <v>2017</v>
      </c>
      <c r="C692" s="191">
        <f t="shared" si="549"/>
        <v>354</v>
      </c>
      <c r="D692" s="208">
        <f t="shared" si="550"/>
        <v>3.2991612301957129E-2</v>
      </c>
      <c r="E692" t="str">
        <f t="shared" si="548"/>
        <v>201712</v>
      </c>
      <c r="F692">
        <f>SUMIF(Inputs!A:A,Summaries!E692,Inputs!Q:Q)</f>
        <v>11084</v>
      </c>
    </row>
    <row r="693" spans="2:6" x14ac:dyDescent="0.2">
      <c r="B693" s="174">
        <v>2018</v>
      </c>
      <c r="C693" s="191">
        <f t="shared" si="549"/>
        <v>201</v>
      </c>
      <c r="D693" s="208">
        <f t="shared" si="550"/>
        <v>1.8134247564056297E-2</v>
      </c>
      <c r="E693" t="str">
        <f t="shared" si="548"/>
        <v>201812</v>
      </c>
      <c r="F693">
        <f>SUMIF(Inputs!A:A,Summaries!E693,Inputs!Q:Q)</f>
        <v>11285</v>
      </c>
    </row>
    <row r="694" spans="2:6" x14ac:dyDescent="0.2">
      <c r="B694" s="174">
        <v>2019</v>
      </c>
      <c r="C694" s="191">
        <f t="shared" si="549"/>
        <v>75</v>
      </c>
      <c r="D694" s="208">
        <f t="shared" si="550"/>
        <v>6.6459902525476296E-3</v>
      </c>
      <c r="E694" t="str">
        <f t="shared" si="548"/>
        <v>201912</v>
      </c>
      <c r="F694">
        <f>SUMIF(Inputs!A:A,Summaries!E694,Inputs!Q:Q)</f>
        <v>11360</v>
      </c>
    </row>
    <row r="695" spans="2:6" x14ac:dyDescent="0.2">
      <c r="B695" s="174">
        <v>2020</v>
      </c>
      <c r="C695" s="191">
        <f t="shared" si="549"/>
        <v>49</v>
      </c>
      <c r="D695" s="208">
        <f t="shared" si="550"/>
        <v>4.3133802816901412E-3</v>
      </c>
      <c r="E695" t="str">
        <f t="shared" si="548"/>
        <v>202012</v>
      </c>
      <c r="F695">
        <f>SUMIF(Inputs!A:A,Summaries!E695,Inputs!Q:Q)</f>
        <v>11409</v>
      </c>
    </row>
    <row r="696" spans="2:6" x14ac:dyDescent="0.2">
      <c r="B696" s="174">
        <v>2021</v>
      </c>
      <c r="C696" s="191">
        <f t="shared" si="549"/>
        <v>75</v>
      </c>
      <c r="D696" s="208">
        <f t="shared" si="550"/>
        <v>6.5737575598211941E-3</v>
      </c>
      <c r="E696" t="str">
        <f t="shared" si="548"/>
        <v>202112</v>
      </c>
      <c r="F696">
        <f>SUMIF(Inputs!A:A,Summaries!E696,Inputs!Q:Q)</f>
        <v>11484</v>
      </c>
    </row>
    <row r="697" spans="2:6" x14ac:dyDescent="0.2">
      <c r="B697" s="174">
        <v>2022</v>
      </c>
      <c r="C697" s="191">
        <f t="shared" si="549"/>
        <v>76</v>
      </c>
      <c r="D697" s="208">
        <f t="shared" si="550"/>
        <v>6.6179031696273075E-3</v>
      </c>
      <c r="E697" t="str">
        <f t="shared" si="548"/>
        <v>202212</v>
      </c>
      <c r="F697">
        <f>SUMIF(Inputs!A:A,Summaries!E697,Inputs!Q:Q)</f>
        <v>11560</v>
      </c>
    </row>
    <row r="698" spans="2:6" x14ac:dyDescent="0.2">
      <c r="B698" s="174">
        <v>2023</v>
      </c>
      <c r="C698" s="191">
        <f t="shared" si="549"/>
        <v>92</v>
      </c>
      <c r="D698" s="208">
        <f t="shared" si="550"/>
        <v>7.9584775086505195E-3</v>
      </c>
      <c r="E698" t="str">
        <f t="shared" si="548"/>
        <v>202312</v>
      </c>
      <c r="F698">
        <f>+F697+92</f>
        <v>11652</v>
      </c>
    </row>
    <row r="699" spans="2:6" x14ac:dyDescent="0.2">
      <c r="B699" s="174">
        <v>2024</v>
      </c>
      <c r="C699" s="191">
        <f t="shared" si="549"/>
        <v>145</v>
      </c>
      <c r="D699" s="208">
        <f t="shared" si="550"/>
        <v>1.2444215585307243E-2</v>
      </c>
      <c r="E699" t="str">
        <f t="shared" si="548"/>
        <v>202412</v>
      </c>
      <c r="F699">
        <f>+F698+145</f>
        <v>11797</v>
      </c>
    </row>
    <row r="702" spans="2:6" ht="38.25" x14ac:dyDescent="0.2">
      <c r="B702" s="190" t="s">
        <v>280</v>
      </c>
      <c r="C702" s="190" t="s">
        <v>281</v>
      </c>
      <c r="D702" s="190" t="s">
        <v>282</v>
      </c>
      <c r="E702" s="190" t="s">
        <v>40</v>
      </c>
    </row>
    <row r="703" spans="2:6" x14ac:dyDescent="0.2">
      <c r="B703" s="174" t="str">
        <f>+B679</f>
        <v>Residential</v>
      </c>
      <c r="C703" s="191">
        <f>+'Rate Class Energy Model'!H24</f>
        <v>7994.4928962157883</v>
      </c>
      <c r="D703" s="191">
        <f>+'Rate Class Energy Model'!H44</f>
        <v>7994.4928962157883</v>
      </c>
      <c r="E703" s="191">
        <f>+D703-C703</f>
        <v>0</v>
      </c>
    </row>
    <row r="704" spans="2:6" x14ac:dyDescent="0.2">
      <c r="B704" s="174" t="str">
        <f t="shared" ref="B704:B708" si="551">+B680</f>
        <v>GS&lt;50 kW</v>
      </c>
      <c r="C704" s="191">
        <f>+'Rate Class Energy Model'!I24</f>
        <v>30065.948676188287</v>
      </c>
      <c r="D704" s="191">
        <f>+'Rate Class Energy Model'!I44</f>
        <v>30065.948676188287</v>
      </c>
      <c r="E704" s="191">
        <f t="shared" ref="E704:E708" si="552">+D704-C704</f>
        <v>0</v>
      </c>
    </row>
    <row r="705" spans="2:5" x14ac:dyDescent="0.2">
      <c r="B705" s="174" t="str">
        <f t="shared" si="551"/>
        <v>GS&gt;50 kW</v>
      </c>
      <c r="C705" s="191">
        <f>+'Rate Class Energy Model'!J24</f>
        <v>1059762.2406008563</v>
      </c>
      <c r="D705" s="191">
        <f>+'Rate Class Energy Model'!J44</f>
        <v>1059762.2406008563</v>
      </c>
      <c r="E705" s="191">
        <f t="shared" si="552"/>
        <v>0</v>
      </c>
    </row>
    <row r="706" spans="2:5" x14ac:dyDescent="0.2">
      <c r="B706" s="174" t="str">
        <f t="shared" si="551"/>
        <v>Street Lighting</v>
      </c>
      <c r="C706" s="191">
        <f>+'Rate Class Energy Model'!K24</f>
        <v>291.68770446126899</v>
      </c>
      <c r="D706" s="191">
        <f>+'Rate Class Energy Model'!K44</f>
        <v>291.68770446126899</v>
      </c>
      <c r="E706" s="191">
        <f t="shared" si="552"/>
        <v>0</v>
      </c>
    </row>
    <row r="707" spans="2:5" x14ac:dyDescent="0.2">
      <c r="B707" s="174" t="str">
        <f t="shared" si="551"/>
        <v>Sentinel Lights</v>
      </c>
      <c r="C707" s="191">
        <f>+'Rate Class Energy Model'!L24</f>
        <v>631.38527283522433</v>
      </c>
      <c r="D707" s="191">
        <f>+'Rate Class Energy Model'!L44</f>
        <v>631.38527283522433</v>
      </c>
      <c r="E707" s="191">
        <f t="shared" si="552"/>
        <v>0</v>
      </c>
    </row>
    <row r="708" spans="2:5" x14ac:dyDescent="0.2">
      <c r="B708" s="174" t="str">
        <f t="shared" si="551"/>
        <v>USL</v>
      </c>
      <c r="C708" s="191">
        <f>+'Rate Class Energy Model'!M24</f>
        <v>3800.175838827583</v>
      </c>
      <c r="D708" s="191">
        <f>+'Rate Class Energy Model'!M44</f>
        <v>3800.175838827583</v>
      </c>
      <c r="E708" s="191">
        <f t="shared" si="552"/>
        <v>0</v>
      </c>
    </row>
    <row r="711" spans="2:5" ht="38.25" x14ac:dyDescent="0.2">
      <c r="B711" s="190" t="s">
        <v>284</v>
      </c>
      <c r="C711" s="190" t="s">
        <v>281</v>
      </c>
      <c r="D711" s="190" t="s">
        <v>282</v>
      </c>
      <c r="E711" s="190" t="s">
        <v>40</v>
      </c>
    </row>
    <row r="712" spans="2:5" x14ac:dyDescent="0.2">
      <c r="B712" s="174" t="str">
        <f>+B703</f>
        <v>Residential</v>
      </c>
      <c r="C712" s="191">
        <f>+'Rate Class Energy Model'!H33</f>
        <v>95562230.878257319</v>
      </c>
      <c r="D712" s="191">
        <f>+'Rate Class Energy Model'!H50</f>
        <v>95562230.878257319</v>
      </c>
      <c r="E712" s="191">
        <f>+D712-C712</f>
        <v>0</v>
      </c>
    </row>
    <row r="713" spans="2:5" x14ac:dyDescent="0.2">
      <c r="B713" s="174" t="str">
        <f t="shared" ref="B713:B717" si="553">+B704</f>
        <v>GS&lt;50 kW</v>
      </c>
      <c r="C713" s="191">
        <f>+'Rate Class Energy Model'!I33</f>
        <v>35768954.196158841</v>
      </c>
      <c r="D713" s="191">
        <f>+'Rate Class Energy Model'!I50</f>
        <v>35768954.196158841</v>
      </c>
      <c r="E713" s="191">
        <f t="shared" ref="E713:E717" si="554">+D713-C713</f>
        <v>0</v>
      </c>
    </row>
    <row r="714" spans="2:5" x14ac:dyDescent="0.2">
      <c r="B714" s="174" t="str">
        <f t="shared" si="553"/>
        <v>GS&gt;50 kW</v>
      </c>
      <c r="C714" s="191">
        <f>+'Rate Class Energy Model'!J33</f>
        <v>135154245.19000375</v>
      </c>
      <c r="D714" s="191">
        <f>+'Rate Class Energy Model'!J50</f>
        <v>135154245.19000375</v>
      </c>
      <c r="E714" s="191">
        <f t="shared" si="554"/>
        <v>0</v>
      </c>
    </row>
    <row r="715" spans="2:5" x14ac:dyDescent="0.2">
      <c r="B715" s="174" t="str">
        <f t="shared" si="553"/>
        <v>Street Lighting</v>
      </c>
      <c r="C715" s="191">
        <f>+'Rate Class Energy Model'!K33</f>
        <v>867518.63090335811</v>
      </c>
      <c r="D715" s="191">
        <f>+'Rate Class Energy Model'!K50</f>
        <v>867518.63090335811</v>
      </c>
      <c r="E715" s="191">
        <f t="shared" si="554"/>
        <v>0</v>
      </c>
    </row>
    <row r="716" spans="2:5" x14ac:dyDescent="0.2">
      <c r="B716" s="174" t="str">
        <f t="shared" si="553"/>
        <v>Sentinel Lights</v>
      </c>
      <c r="C716" s="191">
        <f>+'Rate Class Energy Model'!L33</f>
        <v>99190.848539410261</v>
      </c>
      <c r="D716" s="191">
        <f>+'Rate Class Energy Model'!L50</f>
        <v>99190.848539410261</v>
      </c>
      <c r="E716" s="191">
        <f t="shared" si="554"/>
        <v>0</v>
      </c>
    </row>
    <row r="717" spans="2:5" x14ac:dyDescent="0.2">
      <c r="B717" s="174" t="str">
        <f t="shared" si="553"/>
        <v>USL</v>
      </c>
      <c r="C717" s="191">
        <f>+'Rate Class Energy Model'!M33</f>
        <v>366145.57472795661</v>
      </c>
      <c r="D717" s="191">
        <f>+'Rate Class Energy Model'!M50</f>
        <v>366145.57472795661</v>
      </c>
      <c r="E717" s="191">
        <f t="shared" si="554"/>
        <v>0</v>
      </c>
    </row>
    <row r="720" spans="2:5" ht="38.25" x14ac:dyDescent="0.2">
      <c r="B720" s="190" t="s">
        <v>284</v>
      </c>
      <c r="C720" s="190" t="s">
        <v>281</v>
      </c>
      <c r="D720" s="190" t="s">
        <v>282</v>
      </c>
      <c r="E720" s="190" t="s">
        <v>40</v>
      </c>
    </row>
    <row r="721" spans="2:5" x14ac:dyDescent="0.2">
      <c r="B721" s="174" t="str">
        <f>+B714</f>
        <v>GS&gt;50 kW</v>
      </c>
      <c r="C721" s="191">
        <f>+'Rate Class Load Model'!B13</f>
        <v>317655.44335731986</v>
      </c>
      <c r="D721" s="191">
        <f>+'Rate Class Load Model'!B35</f>
        <v>317655.44335731986</v>
      </c>
      <c r="E721" s="191">
        <f t="shared" ref="E721:E723" si="555">+D721-C721</f>
        <v>0</v>
      </c>
    </row>
    <row r="722" spans="2:5" x14ac:dyDescent="0.2">
      <c r="B722" s="174" t="str">
        <f>+B715</f>
        <v>Street Lighting</v>
      </c>
      <c r="C722" s="191">
        <f>+'Rate Class Load Model'!C13</f>
        <v>2415.7713744567136</v>
      </c>
      <c r="D722" s="191">
        <f>+'Rate Class Load Model'!C35</f>
        <v>2415.7713744567136</v>
      </c>
      <c r="E722" s="191">
        <f t="shared" si="555"/>
        <v>0</v>
      </c>
    </row>
    <row r="723" spans="2:5" x14ac:dyDescent="0.2">
      <c r="B723" s="174" t="str">
        <f>+B716</f>
        <v>Sentinel Lights</v>
      </c>
      <c r="C723" s="191">
        <f>+'Rate Class Load Model'!D13</f>
        <v>275.71590019869365</v>
      </c>
      <c r="D723" s="191">
        <f>+'Rate Class Load Model'!D35</f>
        <v>275.71590019869365</v>
      </c>
      <c r="E723" s="191">
        <f t="shared" si="555"/>
        <v>0</v>
      </c>
    </row>
  </sheetData>
  <mergeCells count="98">
    <mergeCell ref="L456:M456"/>
    <mergeCell ref="B474:B475"/>
    <mergeCell ref="C474:D474"/>
    <mergeCell ref="E474:E475"/>
    <mergeCell ref="F474:G474"/>
    <mergeCell ref="H474:I474"/>
    <mergeCell ref="J474:K474"/>
    <mergeCell ref="L474:M474"/>
    <mergeCell ref="C456:D456"/>
    <mergeCell ref="E456:E457"/>
    <mergeCell ref="F456:G456"/>
    <mergeCell ref="H456:I456"/>
    <mergeCell ref="J456:K456"/>
    <mergeCell ref="K420:K421"/>
    <mergeCell ref="L420:L421"/>
    <mergeCell ref="M420:M421"/>
    <mergeCell ref="N420:N421"/>
    <mergeCell ref="F438:G438"/>
    <mergeCell ref="L438:M438"/>
    <mergeCell ref="C438:D438"/>
    <mergeCell ref="B456:B457"/>
    <mergeCell ref="B232:J232"/>
    <mergeCell ref="H438:I438"/>
    <mergeCell ref="J438:K438"/>
    <mergeCell ref="B438:B439"/>
    <mergeCell ref="E438:E439"/>
    <mergeCell ref="B420:B421"/>
    <mergeCell ref="C420:C421"/>
    <mergeCell ref="D420:D421"/>
    <mergeCell ref="E420:E421"/>
    <mergeCell ref="F420:F421"/>
    <mergeCell ref="G420:G421"/>
    <mergeCell ref="H420:H421"/>
    <mergeCell ref="I420:I421"/>
    <mergeCell ref="J420:J421"/>
    <mergeCell ref="B48:I48"/>
    <mergeCell ref="L26:M26"/>
    <mergeCell ref="B25:M25"/>
    <mergeCell ref="B26:B27"/>
    <mergeCell ref="E26:F26"/>
    <mergeCell ref="G26:H26"/>
    <mergeCell ref="I26:J26"/>
    <mergeCell ref="J492:K492"/>
    <mergeCell ref="L492:M492"/>
    <mergeCell ref="B510:B511"/>
    <mergeCell ref="C510:D510"/>
    <mergeCell ref="E510:E511"/>
    <mergeCell ref="F510:G510"/>
    <mergeCell ref="H510:I510"/>
    <mergeCell ref="J510:K510"/>
    <mergeCell ref="L510:M510"/>
    <mergeCell ref="B492:B493"/>
    <mergeCell ref="C492:D492"/>
    <mergeCell ref="E492:E493"/>
    <mergeCell ref="F492:G492"/>
    <mergeCell ref="H492:I492"/>
    <mergeCell ref="J528:K528"/>
    <mergeCell ref="L528:M528"/>
    <mergeCell ref="B546:B547"/>
    <mergeCell ref="C546:D546"/>
    <mergeCell ref="E546:E547"/>
    <mergeCell ref="F546:G546"/>
    <mergeCell ref="H546:I546"/>
    <mergeCell ref="J546:K546"/>
    <mergeCell ref="L546:M546"/>
    <mergeCell ref="B528:B529"/>
    <mergeCell ref="C528:D528"/>
    <mergeCell ref="E528:E529"/>
    <mergeCell ref="F528:G528"/>
    <mergeCell ref="H528:I528"/>
    <mergeCell ref="J564:K564"/>
    <mergeCell ref="L564:M564"/>
    <mergeCell ref="B582:B583"/>
    <mergeCell ref="C582:D582"/>
    <mergeCell ref="E582:E583"/>
    <mergeCell ref="F582:G582"/>
    <mergeCell ref="H582:I582"/>
    <mergeCell ref="J582:K582"/>
    <mergeCell ref="L582:M582"/>
    <mergeCell ref="B564:B565"/>
    <mergeCell ref="C564:D564"/>
    <mergeCell ref="E564:E565"/>
    <mergeCell ref="F564:G564"/>
    <mergeCell ref="H564:I564"/>
    <mergeCell ref="J600:K600"/>
    <mergeCell ref="L600:M600"/>
    <mergeCell ref="B618:B619"/>
    <mergeCell ref="C618:D618"/>
    <mergeCell ref="E618:E619"/>
    <mergeCell ref="F618:G618"/>
    <mergeCell ref="H618:I618"/>
    <mergeCell ref="J618:K618"/>
    <mergeCell ref="L618:M618"/>
    <mergeCell ref="B600:B601"/>
    <mergeCell ref="C600:D600"/>
    <mergeCell ref="E600:E601"/>
    <mergeCell ref="F600:G600"/>
    <mergeCell ref="H600:I600"/>
  </mergeCells>
  <phoneticPr fontId="12" type="noConversion"/>
  <pageMargins left="0.7" right="0.7" top="0.75" bottom="0.75" header="0.3" footer="0.3"/>
  <pageSetup scale="26" orientation="landscape" r:id="rId1"/>
  <ignoredErrors>
    <ignoredError sqref="B85:B93 B100:B109 B116:B125 B131:B140 B147:B156" unlocked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11AC6D-DAA8-46EF-9BE8-07E95E30E78E}">
  <dimension ref="A1:AE169"/>
  <sheetViews>
    <sheetView workbookViewId="0">
      <pane xSplit="3" ySplit="2" topLeftCell="D117" activePane="bottomRight" state="frozen"/>
      <selection pane="topRight" activeCell="D1" sqref="D1"/>
      <selection pane="bottomLeft" activeCell="A3" sqref="A3"/>
      <selection pane="bottomRight" activeCell="N139" sqref="N139"/>
    </sheetView>
  </sheetViews>
  <sheetFormatPr defaultRowHeight="12.75" x14ac:dyDescent="0.2"/>
  <cols>
    <col min="3" max="3" width="11.85546875" style="29" customWidth="1"/>
    <col min="4" max="4" width="16.85546875" style="6" customWidth="1"/>
    <col min="5" max="5" width="11.5703125" style="1" customWidth="1"/>
    <col min="6" max="6" width="13.42578125" style="1" customWidth="1"/>
    <col min="7" max="7" width="10.140625" style="1" customWidth="1"/>
    <col min="8" max="8" width="12.42578125" style="1" customWidth="1"/>
    <col min="9" max="9" width="13" style="1" customWidth="1"/>
    <col min="10" max="10" width="12.42578125" style="1" customWidth="1"/>
    <col min="11" max="11" width="14.85546875" style="1" customWidth="1"/>
    <col min="12" max="12" width="11" style="1" customWidth="1"/>
    <col min="13" max="14" width="14.85546875" style="1" customWidth="1"/>
    <col min="15" max="16" width="12.140625" style="25" customWidth="1"/>
    <col min="17" max="17" width="18" customWidth="1"/>
    <col min="18" max="18" width="12.140625" style="25" customWidth="1"/>
    <col min="19" max="19" width="14.42578125" customWidth="1"/>
    <col min="20" max="21" width="12.140625" style="25" customWidth="1"/>
    <col min="22" max="22" width="15.5703125" bestFit="1" customWidth="1"/>
    <col min="23" max="24" width="26.140625" style="98" bestFit="1" customWidth="1"/>
    <col min="25" max="25" width="26.42578125" bestFit="1" customWidth="1"/>
    <col min="26" max="28" width="9.42578125" bestFit="1" customWidth="1"/>
    <col min="29" max="29" width="10.42578125" bestFit="1" customWidth="1"/>
    <col min="31" max="31" width="11.42578125" bestFit="1" customWidth="1"/>
  </cols>
  <sheetData>
    <row r="1" spans="1:31" x14ac:dyDescent="0.2">
      <c r="H1" s="67" t="s">
        <v>103</v>
      </c>
      <c r="J1" s="67" t="s">
        <v>103</v>
      </c>
      <c r="Q1" s="47" t="s">
        <v>63</v>
      </c>
      <c r="S1" s="47" t="s">
        <v>63</v>
      </c>
      <c r="U1" s="25" t="s">
        <v>63</v>
      </c>
      <c r="V1" s="25" t="s">
        <v>63</v>
      </c>
    </row>
    <row r="2" spans="1:31" ht="76.5" x14ac:dyDescent="0.2">
      <c r="C2" s="59"/>
      <c r="D2" s="60" t="s">
        <v>71</v>
      </c>
      <c r="E2" s="61" t="s">
        <v>4</v>
      </c>
      <c r="F2" s="61" t="s">
        <v>5</v>
      </c>
      <c r="G2" s="61" t="s">
        <v>6</v>
      </c>
      <c r="H2" s="61" t="s">
        <v>18</v>
      </c>
      <c r="I2" s="61" t="s">
        <v>7</v>
      </c>
      <c r="J2" s="61" t="s">
        <v>67</v>
      </c>
      <c r="K2" s="61" t="s">
        <v>108</v>
      </c>
      <c r="L2" s="61" t="s">
        <v>143</v>
      </c>
      <c r="M2" s="61" t="s">
        <v>70</v>
      </c>
      <c r="N2" s="61" t="s">
        <v>109</v>
      </c>
      <c r="O2" s="62" t="s">
        <v>150</v>
      </c>
      <c r="P2" s="97" t="s">
        <v>117</v>
      </c>
      <c r="Q2" s="89" t="s">
        <v>100</v>
      </c>
      <c r="R2" s="97" t="s">
        <v>118</v>
      </c>
      <c r="S2" s="89" t="s">
        <v>101</v>
      </c>
      <c r="T2" s="244" t="s">
        <v>286</v>
      </c>
      <c r="U2" s="244" t="s">
        <v>287</v>
      </c>
      <c r="V2" s="89" t="s">
        <v>102</v>
      </c>
      <c r="W2" s="99" t="s">
        <v>121</v>
      </c>
      <c r="X2" s="99" t="s">
        <v>120</v>
      </c>
      <c r="Y2" s="89" t="s">
        <v>104</v>
      </c>
      <c r="Z2" s="89" t="s">
        <v>129</v>
      </c>
      <c r="AA2" s="89" t="s">
        <v>122</v>
      </c>
      <c r="AB2" s="89" t="s">
        <v>130</v>
      </c>
      <c r="AC2" s="89" t="s">
        <v>131</v>
      </c>
      <c r="AD2" s="89" t="s">
        <v>132</v>
      </c>
      <c r="AE2" s="110" t="s">
        <v>149</v>
      </c>
    </row>
    <row r="3" spans="1:31" x14ac:dyDescent="0.2">
      <c r="A3" s="3" t="str">
        <f>YEAR(C3)&amp;MONTH(C3)</f>
        <v>20131</v>
      </c>
      <c r="B3" s="49">
        <f>YEAR(C3)</f>
        <v>2013</v>
      </c>
      <c r="C3" s="52">
        <v>41305</v>
      </c>
      <c r="D3" s="53">
        <v>23103232.740000002</v>
      </c>
      <c r="E3" s="54">
        <v>624.50000000000011</v>
      </c>
      <c r="F3" s="54">
        <v>0</v>
      </c>
      <c r="G3" s="53">
        <v>31</v>
      </c>
      <c r="H3" s="53">
        <v>0</v>
      </c>
      <c r="I3" s="53">
        <v>352</v>
      </c>
      <c r="J3" s="53">
        <v>0</v>
      </c>
      <c r="K3" s="55">
        <v>45.3</v>
      </c>
      <c r="L3" s="53">
        <v>11403</v>
      </c>
      <c r="M3" s="53">
        <v>1</v>
      </c>
      <c r="N3" s="94">
        <v>676.6</v>
      </c>
      <c r="O3" s="56">
        <v>144.98936781896037</v>
      </c>
      <c r="P3" s="98">
        <v>8299305.4854743835</v>
      </c>
      <c r="Q3">
        <v>10152</v>
      </c>
      <c r="R3" s="98">
        <v>3477851.4950427036</v>
      </c>
      <c r="S3">
        <v>1128</v>
      </c>
      <c r="T3" s="245">
        <f>+[14]Sheet1!D3</f>
        <v>10742356.61247734</v>
      </c>
      <c r="U3" s="245">
        <f>+[14]Sheet1!I3</f>
        <v>23652.342915440906</v>
      </c>
      <c r="V3">
        <v>123</v>
      </c>
      <c r="W3" s="98">
        <v>180805.32391947333</v>
      </c>
      <c r="X3" s="98">
        <v>392.86</v>
      </c>
      <c r="Y3" s="98">
        <v>2840</v>
      </c>
      <c r="Z3" s="98">
        <v>9028.3771541246933</v>
      </c>
      <c r="AA3" s="98">
        <v>24.5</v>
      </c>
      <c r="AB3" s="98">
        <v>156</v>
      </c>
      <c r="AC3" s="98">
        <v>30985.218331584128</v>
      </c>
      <c r="AD3" s="98">
        <v>104</v>
      </c>
      <c r="AE3" s="58"/>
    </row>
    <row r="4" spans="1:31" x14ac:dyDescent="0.2">
      <c r="A4" s="3" t="str">
        <f t="shared" ref="A4:A67" si="0">YEAR(C4)&amp;MONTH(C4)</f>
        <v>20132</v>
      </c>
      <c r="B4" s="49">
        <f t="shared" ref="B4:B67" si="1">YEAR(C4)</f>
        <v>2013</v>
      </c>
      <c r="C4" s="52">
        <v>41333</v>
      </c>
      <c r="D4" s="53">
        <v>21143805.780000001</v>
      </c>
      <c r="E4" s="54">
        <v>631.49999999999989</v>
      </c>
      <c r="F4" s="54">
        <v>0</v>
      </c>
      <c r="G4" s="53">
        <v>28</v>
      </c>
      <c r="H4" s="53">
        <v>0</v>
      </c>
      <c r="I4" s="53">
        <v>304</v>
      </c>
      <c r="J4" s="53">
        <v>0</v>
      </c>
      <c r="K4" s="55">
        <v>48.4</v>
      </c>
      <c r="L4" s="53">
        <v>11403</v>
      </c>
      <c r="M4" s="53">
        <v>2</v>
      </c>
      <c r="N4" s="94">
        <v>677.5</v>
      </c>
      <c r="O4" s="56">
        <v>145.14551144798114</v>
      </c>
      <c r="P4" s="98">
        <v>7324970.2810308291</v>
      </c>
      <c r="Q4">
        <v>10156</v>
      </c>
      <c r="R4" s="98">
        <v>3146623.1619047164</v>
      </c>
      <c r="S4">
        <v>1123</v>
      </c>
      <c r="T4" s="245">
        <f>+[14]Sheet1!D4</f>
        <v>9318816.1420805641</v>
      </c>
      <c r="U4" s="245">
        <f>+[14]Sheet1!I4</f>
        <v>23057.883142070528</v>
      </c>
      <c r="V4">
        <v>124</v>
      </c>
      <c r="W4" s="98">
        <v>164233.32697261716</v>
      </c>
      <c r="X4" s="98">
        <v>392.86</v>
      </c>
      <c r="Y4">
        <v>2845</v>
      </c>
      <c r="Z4" s="98">
        <v>8154.66757937896</v>
      </c>
      <c r="AA4" s="98">
        <v>24.5</v>
      </c>
      <c r="AB4" s="98">
        <v>156</v>
      </c>
      <c r="AC4" s="98">
        <v>27951.462081297046</v>
      </c>
      <c r="AD4" s="98">
        <v>104</v>
      </c>
      <c r="AE4" s="58"/>
    </row>
    <row r="5" spans="1:31" x14ac:dyDescent="0.2">
      <c r="A5" s="3" t="str">
        <f t="shared" si="0"/>
        <v>20133</v>
      </c>
      <c r="B5" s="49">
        <f t="shared" si="1"/>
        <v>2013</v>
      </c>
      <c r="C5" s="52">
        <v>41364</v>
      </c>
      <c r="D5" s="53">
        <v>22021932.285</v>
      </c>
      <c r="E5" s="54">
        <v>554.79999999999995</v>
      </c>
      <c r="F5" s="54">
        <v>0</v>
      </c>
      <c r="G5" s="53">
        <v>31</v>
      </c>
      <c r="H5" s="53">
        <v>1</v>
      </c>
      <c r="I5" s="53">
        <v>320</v>
      </c>
      <c r="J5" s="53">
        <v>0</v>
      </c>
      <c r="K5" s="55">
        <v>49.1</v>
      </c>
      <c r="L5" s="53">
        <v>11415</v>
      </c>
      <c r="M5" s="53">
        <v>3</v>
      </c>
      <c r="N5" s="94">
        <v>678.9</v>
      </c>
      <c r="O5" s="56">
        <v>145.30182323300707</v>
      </c>
      <c r="P5" s="98">
        <v>7486234.7520100428</v>
      </c>
      <c r="Q5">
        <v>10166</v>
      </c>
      <c r="R5" s="98">
        <v>3331914.2994004106</v>
      </c>
      <c r="S5">
        <v>1125</v>
      </c>
      <c r="T5" s="245">
        <f>+[14]Sheet1!D5</f>
        <v>10236169.109442228</v>
      </c>
      <c r="U5" s="245">
        <f>+[14]Sheet1!I5</f>
        <v>23190.607747196911</v>
      </c>
      <c r="V5">
        <v>124</v>
      </c>
      <c r="W5" s="98">
        <v>148791.71834748593</v>
      </c>
      <c r="X5" s="98">
        <v>398.32</v>
      </c>
      <c r="Y5">
        <v>2851</v>
      </c>
      <c r="Z5" s="98">
        <v>9028.3545253632346</v>
      </c>
      <c r="AA5" s="98">
        <v>24.5</v>
      </c>
      <c r="AB5" s="98">
        <v>156</v>
      </c>
      <c r="AC5" s="98">
        <v>35997.204635816743</v>
      </c>
      <c r="AD5" s="98">
        <v>104</v>
      </c>
      <c r="AE5" s="58"/>
    </row>
    <row r="6" spans="1:31" x14ac:dyDescent="0.2">
      <c r="A6" s="3" t="str">
        <f t="shared" si="0"/>
        <v>20134</v>
      </c>
      <c r="B6" s="49">
        <f t="shared" si="1"/>
        <v>2013</v>
      </c>
      <c r="C6" s="52">
        <v>41394</v>
      </c>
      <c r="D6" s="53">
        <v>20056096.465</v>
      </c>
      <c r="E6" s="54">
        <v>358.6</v>
      </c>
      <c r="F6" s="54">
        <v>0</v>
      </c>
      <c r="G6" s="53">
        <v>30</v>
      </c>
      <c r="H6" s="53">
        <v>1</v>
      </c>
      <c r="I6" s="53">
        <v>352</v>
      </c>
      <c r="J6" s="53">
        <v>0</v>
      </c>
      <c r="K6" s="55">
        <v>50.2</v>
      </c>
      <c r="L6" s="53">
        <v>11432</v>
      </c>
      <c r="M6" s="53">
        <v>4</v>
      </c>
      <c r="N6" s="94">
        <v>680.9</v>
      </c>
      <c r="O6" s="56">
        <v>145.45830335513068</v>
      </c>
      <c r="P6" s="98">
        <v>6404077.6216677455</v>
      </c>
      <c r="Q6">
        <v>10185</v>
      </c>
      <c r="R6" s="98">
        <v>2912652.1576192575</v>
      </c>
      <c r="S6">
        <v>1123</v>
      </c>
      <c r="T6" s="245">
        <f>+[14]Sheet1!D6</f>
        <v>9762675.8295746874</v>
      </c>
      <c r="U6" s="245">
        <f>+[14]Sheet1!I6</f>
        <v>23848.576949868613</v>
      </c>
      <c r="V6">
        <v>124</v>
      </c>
      <c r="W6" s="98">
        <v>124046.32191584771</v>
      </c>
      <c r="X6" s="98">
        <v>398.32</v>
      </c>
      <c r="Y6">
        <v>2851</v>
      </c>
      <c r="Z6" s="98">
        <v>8722.3312557604859</v>
      </c>
      <c r="AA6" s="98">
        <v>24.5</v>
      </c>
      <c r="AB6" s="98">
        <v>156</v>
      </c>
      <c r="AC6" s="98">
        <v>30847.712036276807</v>
      </c>
      <c r="AD6" s="98">
        <v>104</v>
      </c>
      <c r="AE6" s="58"/>
    </row>
    <row r="7" spans="1:31" x14ac:dyDescent="0.2">
      <c r="A7" s="3" t="str">
        <f t="shared" si="0"/>
        <v>20135</v>
      </c>
      <c r="B7" s="49">
        <f t="shared" si="1"/>
        <v>2013</v>
      </c>
      <c r="C7" s="52">
        <v>41425</v>
      </c>
      <c r="D7" s="53">
        <v>19849846.864999998</v>
      </c>
      <c r="E7" s="54">
        <v>109.10000000000001</v>
      </c>
      <c r="F7" s="54">
        <v>23.1</v>
      </c>
      <c r="G7" s="53">
        <v>31</v>
      </c>
      <c r="H7" s="53">
        <v>1</v>
      </c>
      <c r="I7" s="53">
        <v>352</v>
      </c>
      <c r="J7" s="53">
        <v>0</v>
      </c>
      <c r="K7" s="55">
        <v>52.5</v>
      </c>
      <c r="L7" s="53">
        <v>11444</v>
      </c>
      <c r="M7" s="53">
        <v>5</v>
      </c>
      <c r="N7" s="94">
        <v>685.7</v>
      </c>
      <c r="O7" s="56">
        <v>145.6149519956395</v>
      </c>
      <c r="P7" s="98">
        <v>6198027.0308834668</v>
      </c>
      <c r="Q7">
        <v>10199</v>
      </c>
      <c r="R7" s="98">
        <v>2825213.206719344</v>
      </c>
      <c r="S7">
        <v>1121</v>
      </c>
      <c r="T7" s="245">
        <f>+[14]Sheet1!D7</f>
        <v>10105757.355598796</v>
      </c>
      <c r="U7" s="245">
        <f>+[14]Sheet1!I7</f>
        <v>25133.018627245474</v>
      </c>
      <c r="V7">
        <v>124</v>
      </c>
      <c r="W7" s="98">
        <v>111813.59603091309</v>
      </c>
      <c r="X7" s="98">
        <v>398.42</v>
      </c>
      <c r="Y7">
        <v>2852</v>
      </c>
      <c r="Z7" s="98">
        <v>8993.0478280425796</v>
      </c>
      <c r="AA7" s="98">
        <v>24.5</v>
      </c>
      <c r="AB7" s="98">
        <v>156</v>
      </c>
      <c r="AC7" s="98">
        <v>30601.767892921911</v>
      </c>
      <c r="AD7" s="98">
        <v>104</v>
      </c>
      <c r="AE7" s="58"/>
    </row>
    <row r="8" spans="1:31" x14ac:dyDescent="0.2">
      <c r="A8" s="3" t="str">
        <f t="shared" si="0"/>
        <v>20136</v>
      </c>
      <c r="B8" s="49">
        <f t="shared" si="1"/>
        <v>2013</v>
      </c>
      <c r="C8" s="52">
        <v>41455</v>
      </c>
      <c r="D8" s="53">
        <v>20147779.544999998</v>
      </c>
      <c r="E8" s="54">
        <v>32.999999999999993</v>
      </c>
      <c r="F8" s="54">
        <v>60</v>
      </c>
      <c r="G8" s="53">
        <v>30</v>
      </c>
      <c r="H8" s="53">
        <v>0</v>
      </c>
      <c r="I8" s="53">
        <v>320</v>
      </c>
      <c r="J8" s="53">
        <v>0</v>
      </c>
      <c r="K8" s="55">
        <v>51.6</v>
      </c>
      <c r="L8" s="53">
        <v>11456</v>
      </c>
      <c r="M8" s="53">
        <v>6</v>
      </c>
      <c r="N8" s="94">
        <v>691.7</v>
      </c>
      <c r="O8" s="56">
        <v>145.77176933601632</v>
      </c>
      <c r="P8" s="98">
        <v>6804011.4743053485</v>
      </c>
      <c r="Q8">
        <v>10211</v>
      </c>
      <c r="R8" s="98">
        <v>2830685.0131193171</v>
      </c>
      <c r="S8">
        <v>1121</v>
      </c>
      <c r="T8" s="245">
        <f>+[14]Sheet1!D8</f>
        <v>9879884.0499149896</v>
      </c>
      <c r="U8" s="245">
        <f>+[14]Sheet1!I8</f>
        <v>24716.811681319825</v>
      </c>
      <c r="V8">
        <v>124</v>
      </c>
      <c r="W8" s="98">
        <v>96194.113157141473</v>
      </c>
      <c r="X8" s="98">
        <v>399.62</v>
      </c>
      <c r="Y8">
        <v>2855</v>
      </c>
      <c r="Z8" s="98">
        <v>8702.9727261575354</v>
      </c>
      <c r="AA8" s="98">
        <v>24.5</v>
      </c>
      <c r="AB8" s="98">
        <v>156</v>
      </c>
      <c r="AC8" s="98">
        <v>34513.238240625877</v>
      </c>
      <c r="AD8" s="98">
        <v>101</v>
      </c>
      <c r="AE8" s="58"/>
    </row>
    <row r="9" spans="1:31" x14ac:dyDescent="0.2">
      <c r="A9" s="3" t="str">
        <f t="shared" si="0"/>
        <v>20137</v>
      </c>
      <c r="B9" s="49">
        <f t="shared" si="1"/>
        <v>2013</v>
      </c>
      <c r="C9" s="52">
        <v>41486</v>
      </c>
      <c r="D9" s="53">
        <v>22076027.195</v>
      </c>
      <c r="E9" s="54">
        <v>1.2999999999999998</v>
      </c>
      <c r="F9" s="54">
        <v>131.20000000000002</v>
      </c>
      <c r="G9" s="53">
        <v>31</v>
      </c>
      <c r="H9" s="53">
        <v>0</v>
      </c>
      <c r="I9" s="53">
        <v>352</v>
      </c>
      <c r="J9" s="53">
        <v>0</v>
      </c>
      <c r="K9" s="55">
        <v>53.7</v>
      </c>
      <c r="L9" s="53">
        <v>11469</v>
      </c>
      <c r="M9" s="53">
        <v>7</v>
      </c>
      <c r="N9" s="94">
        <v>697.3</v>
      </c>
      <c r="O9" s="56">
        <v>145.92875555793933</v>
      </c>
      <c r="P9" s="98">
        <v>7662644.1618999653</v>
      </c>
      <c r="Q9">
        <v>10225</v>
      </c>
      <c r="R9" s="98">
        <v>3027887.1316744611</v>
      </c>
      <c r="S9">
        <v>1120</v>
      </c>
      <c r="T9" s="245">
        <f>+[14]Sheet1!D9</f>
        <v>10249620.136216294</v>
      </c>
      <c r="U9" s="245">
        <f>+[14]Sheet1!I9</f>
        <v>24990.128891455945</v>
      </c>
      <c r="V9">
        <v>124</v>
      </c>
      <c r="W9" s="98">
        <v>101883.36990745158</v>
      </c>
      <c r="X9" s="98">
        <v>399.9</v>
      </c>
      <c r="Y9">
        <v>2858</v>
      </c>
      <c r="Z9" s="98">
        <v>9009.0283097305328</v>
      </c>
      <c r="AA9" s="98">
        <v>24.5</v>
      </c>
      <c r="AB9" s="98">
        <v>156</v>
      </c>
      <c r="AC9" s="98">
        <v>32442.443946188301</v>
      </c>
      <c r="AD9" s="98">
        <v>104</v>
      </c>
      <c r="AE9" s="58"/>
    </row>
    <row r="10" spans="1:31" x14ac:dyDescent="0.2">
      <c r="A10" s="3" t="str">
        <f t="shared" si="0"/>
        <v>20138</v>
      </c>
      <c r="B10" s="49">
        <f t="shared" si="1"/>
        <v>2013</v>
      </c>
      <c r="C10" s="52">
        <v>41517</v>
      </c>
      <c r="D10" s="53">
        <v>21280806.869999997</v>
      </c>
      <c r="E10" s="54">
        <v>4.4000000000000004</v>
      </c>
      <c r="F10" s="54">
        <v>93.799999999999983</v>
      </c>
      <c r="G10" s="53">
        <v>31</v>
      </c>
      <c r="H10" s="53">
        <v>0</v>
      </c>
      <c r="I10" s="53">
        <v>352</v>
      </c>
      <c r="J10" s="53">
        <v>0</v>
      </c>
      <c r="K10" s="55">
        <v>51.9</v>
      </c>
      <c r="L10" s="53">
        <v>11476</v>
      </c>
      <c r="M10" s="53">
        <v>8</v>
      </c>
      <c r="N10" s="94">
        <v>695.4</v>
      </c>
      <c r="O10" s="56">
        <v>146.08591084328242</v>
      </c>
      <c r="P10" s="98">
        <v>7114578.0112962946</v>
      </c>
      <c r="Q10">
        <v>10233</v>
      </c>
      <c r="R10" s="98">
        <v>2928281.5979401967</v>
      </c>
      <c r="S10">
        <v>1118</v>
      </c>
      <c r="T10" s="245">
        <f>+[14]Sheet1!D10</f>
        <v>10395454.675631333</v>
      </c>
      <c r="U10" s="245">
        <f>+[14]Sheet1!I10</f>
        <v>24842.763918676581</v>
      </c>
      <c r="V10">
        <v>125</v>
      </c>
      <c r="W10" s="98">
        <v>122841.95210380688</v>
      </c>
      <c r="X10" s="98">
        <v>399.9</v>
      </c>
      <c r="Y10">
        <v>2858</v>
      </c>
      <c r="Z10" s="98">
        <v>9028.3911022666853</v>
      </c>
      <c r="AA10" s="98">
        <v>24.5</v>
      </c>
      <c r="AB10" s="98">
        <v>156</v>
      </c>
      <c r="AC10" s="98">
        <v>30832.521297040952</v>
      </c>
      <c r="AD10" s="98">
        <v>104</v>
      </c>
      <c r="AE10" s="58"/>
    </row>
    <row r="11" spans="1:31" x14ac:dyDescent="0.2">
      <c r="A11" s="3" t="str">
        <f t="shared" si="0"/>
        <v>20139</v>
      </c>
      <c r="B11" s="49">
        <f t="shared" si="1"/>
        <v>2013</v>
      </c>
      <c r="C11" s="52">
        <v>41547</v>
      </c>
      <c r="D11" s="53">
        <v>19603273.836052112</v>
      </c>
      <c r="E11" s="54">
        <v>86.35</v>
      </c>
      <c r="F11" s="54">
        <v>28.749999999999996</v>
      </c>
      <c r="G11" s="53">
        <v>30</v>
      </c>
      <c r="H11" s="53">
        <v>1</v>
      </c>
      <c r="I11" s="53">
        <v>320</v>
      </c>
      <c r="J11" s="53">
        <v>0</v>
      </c>
      <c r="K11" s="55">
        <v>49.9</v>
      </c>
      <c r="L11" s="53">
        <v>11489</v>
      </c>
      <c r="M11" s="53">
        <v>9</v>
      </c>
      <c r="N11" s="94">
        <v>691.4</v>
      </c>
      <c r="O11" s="56">
        <v>146.2432353741153</v>
      </c>
      <c r="P11" s="98">
        <v>6357845.9560674187</v>
      </c>
      <c r="Q11">
        <v>10244</v>
      </c>
      <c r="R11" s="98">
        <v>2705058.2187674427</v>
      </c>
      <c r="S11">
        <v>1120</v>
      </c>
      <c r="T11" s="245">
        <f>+[14]Sheet1!D11</f>
        <v>9874470.2348553762</v>
      </c>
      <c r="U11" s="245">
        <f>+[14]Sheet1!I11</f>
        <v>25320.420773470396</v>
      </c>
      <c r="V11">
        <v>125</v>
      </c>
      <c r="W11" s="98">
        <v>135880.3644690392</v>
      </c>
      <c r="X11" s="98">
        <v>399.9</v>
      </c>
      <c r="Y11">
        <v>2858</v>
      </c>
      <c r="Z11" s="98">
        <v>8737.1397598187359</v>
      </c>
      <c r="AA11" s="98">
        <v>24.5</v>
      </c>
      <c r="AB11" s="98">
        <v>156</v>
      </c>
      <c r="AC11" s="98">
        <v>34061.359894493624</v>
      </c>
      <c r="AD11" s="98">
        <v>104</v>
      </c>
      <c r="AE11" s="58"/>
    </row>
    <row r="12" spans="1:31" x14ac:dyDescent="0.2">
      <c r="A12" s="3" t="str">
        <f t="shared" si="0"/>
        <v>201310</v>
      </c>
      <c r="B12" s="49">
        <f t="shared" si="1"/>
        <v>2013</v>
      </c>
      <c r="C12" s="52">
        <v>41578</v>
      </c>
      <c r="D12" s="53">
        <v>20353929.379999995</v>
      </c>
      <c r="E12" s="54">
        <v>221.8</v>
      </c>
      <c r="F12" s="54">
        <v>0.4</v>
      </c>
      <c r="G12" s="53">
        <v>31</v>
      </c>
      <c r="H12" s="53">
        <v>1</v>
      </c>
      <c r="I12" s="53">
        <v>352</v>
      </c>
      <c r="J12" s="53">
        <v>0</v>
      </c>
      <c r="K12" s="55">
        <v>43.5</v>
      </c>
      <c r="L12" s="53">
        <v>11497</v>
      </c>
      <c r="M12" s="53">
        <v>10</v>
      </c>
      <c r="N12" s="94">
        <v>690.9</v>
      </c>
      <c r="O12" s="56">
        <v>146.4007293327038</v>
      </c>
      <c r="P12" s="98">
        <v>6504813.5307399314</v>
      </c>
      <c r="Q12">
        <v>10250</v>
      </c>
      <c r="R12" s="98">
        <v>2780091.7873717868</v>
      </c>
      <c r="S12">
        <v>1121</v>
      </c>
      <c r="T12" s="245">
        <f>+[14]Sheet1!D12</f>
        <v>10439834.44113663</v>
      </c>
      <c r="U12" s="245">
        <f>+[14]Sheet1!I12</f>
        <v>24358.571209889429</v>
      </c>
      <c r="V12">
        <v>126</v>
      </c>
      <c r="W12" s="98">
        <v>160146.8466749356</v>
      </c>
      <c r="X12" s="98">
        <v>399.9</v>
      </c>
      <c r="Y12">
        <v>2858</v>
      </c>
      <c r="Z12" s="98">
        <v>8996.5305712084501</v>
      </c>
      <c r="AA12" s="98">
        <v>24.5</v>
      </c>
      <c r="AB12" s="98">
        <v>156</v>
      </c>
      <c r="AC12" s="98">
        <v>32152.052250251774</v>
      </c>
      <c r="AD12" s="98">
        <v>104</v>
      </c>
      <c r="AE12" s="58"/>
    </row>
    <row r="13" spans="1:31" x14ac:dyDescent="0.2">
      <c r="A13" s="3" t="str">
        <f t="shared" si="0"/>
        <v>201311</v>
      </c>
      <c r="B13" s="49">
        <f t="shared" si="1"/>
        <v>2013</v>
      </c>
      <c r="C13" s="52">
        <v>41608</v>
      </c>
      <c r="D13" s="53">
        <v>21325343.805</v>
      </c>
      <c r="E13" s="54">
        <v>478.20000000000005</v>
      </c>
      <c r="F13" s="54">
        <v>0</v>
      </c>
      <c r="G13" s="53">
        <v>30</v>
      </c>
      <c r="H13" s="53">
        <v>1</v>
      </c>
      <c r="I13" s="53">
        <v>336</v>
      </c>
      <c r="J13" s="53">
        <v>0</v>
      </c>
      <c r="K13" s="55">
        <v>38.9</v>
      </c>
      <c r="L13" s="53">
        <v>11508</v>
      </c>
      <c r="M13" s="53">
        <v>11</v>
      </c>
      <c r="N13" s="94">
        <v>692.1</v>
      </c>
      <c r="O13" s="56">
        <v>146.55839290151005</v>
      </c>
      <c r="P13" s="98">
        <v>7240138.8289722316</v>
      </c>
      <c r="Q13">
        <v>10257</v>
      </c>
      <c r="R13" s="98">
        <v>3004325.1128631318</v>
      </c>
      <c r="S13">
        <v>1125</v>
      </c>
      <c r="T13" s="245">
        <f>+[14]Sheet1!D13</f>
        <v>10059098.879201794</v>
      </c>
      <c r="U13" s="245">
        <f>+[14]Sheet1!I13</f>
        <v>23363.748300335461</v>
      </c>
      <c r="V13">
        <v>126</v>
      </c>
      <c r="W13" s="98">
        <v>177050.31962598985</v>
      </c>
      <c r="X13" s="98">
        <v>399.9</v>
      </c>
      <c r="Y13">
        <v>2858</v>
      </c>
      <c r="Z13" s="98">
        <v>8668.8397035074813</v>
      </c>
      <c r="AA13" s="98">
        <v>23.1</v>
      </c>
      <c r="AB13" s="98">
        <v>156</v>
      </c>
      <c r="AC13" s="98">
        <v>30855.752289360531</v>
      </c>
      <c r="AD13" s="98">
        <v>104</v>
      </c>
      <c r="AE13" s="58"/>
    </row>
    <row r="14" spans="1:31" x14ac:dyDescent="0.2">
      <c r="A14" s="3" t="str">
        <f t="shared" si="0"/>
        <v>201312</v>
      </c>
      <c r="B14" s="49">
        <f t="shared" si="1"/>
        <v>2013</v>
      </c>
      <c r="C14" s="52">
        <v>41639</v>
      </c>
      <c r="D14" s="53">
        <v>22832457.52</v>
      </c>
      <c r="E14" s="54">
        <v>687.9</v>
      </c>
      <c r="F14" s="54">
        <v>0</v>
      </c>
      <c r="G14" s="53">
        <v>31</v>
      </c>
      <c r="H14" s="53">
        <v>0</v>
      </c>
      <c r="I14" s="53">
        <v>320</v>
      </c>
      <c r="J14" s="53">
        <v>0</v>
      </c>
      <c r="K14" s="55">
        <v>39.6</v>
      </c>
      <c r="L14" s="53">
        <v>11516</v>
      </c>
      <c r="M14" s="53">
        <v>12</v>
      </c>
      <c r="N14" s="94">
        <v>687.5</v>
      </c>
      <c r="O14" s="56">
        <v>146.71622626319265</v>
      </c>
      <c r="P14" s="98">
        <v>8805614.6122561023</v>
      </c>
      <c r="Q14">
        <v>10261</v>
      </c>
      <c r="R14" s="98">
        <v>3479318.6093672263</v>
      </c>
      <c r="S14">
        <v>1128</v>
      </c>
      <c r="T14" s="245">
        <f>+[14]Sheet1!D14</f>
        <v>9894702.0637099501</v>
      </c>
      <c r="U14" s="245">
        <f>+[14]Sheet1!I14</f>
        <v>23611.905653502614</v>
      </c>
      <c r="V14">
        <v>127</v>
      </c>
      <c r="W14" s="98">
        <v>189290.90735616832</v>
      </c>
      <c r="X14" s="98">
        <v>400.4</v>
      </c>
      <c r="Y14">
        <v>2863</v>
      </c>
      <c r="Z14" s="98">
        <v>8941.8304727779014</v>
      </c>
      <c r="AA14" s="98">
        <v>24.2</v>
      </c>
      <c r="AB14" s="98">
        <v>156</v>
      </c>
      <c r="AC14" s="98">
        <v>33168.799909536428</v>
      </c>
      <c r="AD14" s="98">
        <v>104</v>
      </c>
      <c r="AE14" s="58"/>
    </row>
    <row r="15" spans="1:31" x14ac:dyDescent="0.2">
      <c r="A15" s="3" t="str">
        <f t="shared" si="0"/>
        <v>20141</v>
      </c>
      <c r="B15" s="49">
        <f t="shared" si="1"/>
        <v>2014</v>
      </c>
      <c r="C15" s="52">
        <v>41670</v>
      </c>
      <c r="D15" s="53">
        <v>24790039.349999998</v>
      </c>
      <c r="E15" s="54">
        <v>825.90000000000009</v>
      </c>
      <c r="F15" s="54">
        <v>0</v>
      </c>
      <c r="G15" s="53">
        <v>31</v>
      </c>
      <c r="H15" s="53">
        <v>0</v>
      </c>
      <c r="I15" s="53">
        <v>352</v>
      </c>
      <c r="J15" s="53">
        <v>0</v>
      </c>
      <c r="K15" s="55">
        <v>42.8</v>
      </c>
      <c r="L15" s="53">
        <v>11531</v>
      </c>
      <c r="M15" s="53">
        <v>13</v>
      </c>
      <c r="N15" s="94">
        <v>681.3</v>
      </c>
      <c r="O15" s="56">
        <v>147.04232175221028</v>
      </c>
      <c r="P15" s="98">
        <v>8939452.3500931337</v>
      </c>
      <c r="Q15">
        <v>10275</v>
      </c>
      <c r="R15" s="98">
        <v>3597493.4630245753</v>
      </c>
      <c r="S15">
        <v>1129</v>
      </c>
      <c r="T15" s="245">
        <f>+[14]Sheet1!D15</f>
        <v>10582609.979404638</v>
      </c>
      <c r="U15" s="245">
        <f>+[14]Sheet1!I15</f>
        <v>24974.097931318676</v>
      </c>
      <c r="V15">
        <v>127</v>
      </c>
      <c r="W15" s="98">
        <v>184291.222211621</v>
      </c>
      <c r="X15" s="98">
        <v>400.4</v>
      </c>
      <c r="Y15">
        <v>2863</v>
      </c>
      <c r="Z15" s="98">
        <v>8922.5128797026064</v>
      </c>
      <c r="AA15" s="98">
        <v>24.2</v>
      </c>
      <c r="AB15" s="98">
        <v>156</v>
      </c>
      <c r="AC15" s="98">
        <v>30436.961266528291</v>
      </c>
      <c r="AD15" s="98">
        <v>104</v>
      </c>
    </row>
    <row r="16" spans="1:31" x14ac:dyDescent="0.2">
      <c r="A16" s="3" t="str">
        <f t="shared" si="0"/>
        <v>20142</v>
      </c>
      <c r="B16" s="49">
        <f t="shared" si="1"/>
        <v>2014</v>
      </c>
      <c r="C16" s="52">
        <v>41698</v>
      </c>
      <c r="D16" s="53">
        <v>21747839.690000001</v>
      </c>
      <c r="E16" s="54">
        <v>737.09999999999991</v>
      </c>
      <c r="F16" s="54">
        <v>0</v>
      </c>
      <c r="G16" s="53">
        <v>28</v>
      </c>
      <c r="H16" s="53">
        <v>0</v>
      </c>
      <c r="I16" s="53">
        <v>304</v>
      </c>
      <c r="J16" s="53">
        <v>0</v>
      </c>
      <c r="K16" s="55">
        <v>43.8</v>
      </c>
      <c r="L16" s="53">
        <v>11558</v>
      </c>
      <c r="M16" s="53">
        <v>14</v>
      </c>
      <c r="N16" s="94">
        <v>674.5</v>
      </c>
      <c r="O16" s="56">
        <v>147.36914202996238</v>
      </c>
      <c r="P16" s="98">
        <v>7807514.2367685847</v>
      </c>
      <c r="Q16">
        <v>10297</v>
      </c>
      <c r="R16" s="98">
        <v>3266728.5111679998</v>
      </c>
      <c r="S16">
        <v>1137</v>
      </c>
      <c r="T16" s="245">
        <f>+[14]Sheet1!D16</f>
        <v>9799176.3163809571</v>
      </c>
      <c r="U16" s="245">
        <f>+[14]Sheet1!I16</f>
        <v>23610.931945116918</v>
      </c>
      <c r="V16">
        <v>124</v>
      </c>
      <c r="W16" s="98">
        <v>168043.65995611105</v>
      </c>
      <c r="X16" s="98">
        <v>401.95</v>
      </c>
      <c r="Y16">
        <v>2863</v>
      </c>
      <c r="Z16" s="98">
        <v>8059.0257548333593</v>
      </c>
      <c r="AA16" s="98">
        <v>24.3</v>
      </c>
      <c r="AB16" s="98">
        <v>152</v>
      </c>
      <c r="AC16" s="98">
        <v>31460.519140194163</v>
      </c>
      <c r="AD16" s="98">
        <v>104</v>
      </c>
    </row>
    <row r="17" spans="1:30" x14ac:dyDescent="0.2">
      <c r="A17" s="3" t="str">
        <f t="shared" si="0"/>
        <v>20143</v>
      </c>
      <c r="B17" s="49">
        <f t="shared" si="1"/>
        <v>2014</v>
      </c>
      <c r="C17" s="52">
        <v>41729</v>
      </c>
      <c r="D17" s="53">
        <v>23077253.934999999</v>
      </c>
      <c r="E17" s="54">
        <v>690.6</v>
      </c>
      <c r="F17" s="54">
        <v>0</v>
      </c>
      <c r="G17" s="53">
        <v>31</v>
      </c>
      <c r="H17" s="53">
        <v>1</v>
      </c>
      <c r="I17" s="53">
        <v>336</v>
      </c>
      <c r="J17" s="53">
        <v>0</v>
      </c>
      <c r="K17" s="55">
        <v>45.3</v>
      </c>
      <c r="L17" s="53">
        <v>11569</v>
      </c>
      <c r="M17" s="53">
        <v>15</v>
      </c>
      <c r="N17" s="94">
        <v>672.4</v>
      </c>
      <c r="O17" s="56">
        <v>147.69668870738414</v>
      </c>
      <c r="P17" s="98">
        <v>7878150.6274170019</v>
      </c>
      <c r="Q17">
        <v>10303</v>
      </c>
      <c r="R17" s="98">
        <v>3408853.8166851988</v>
      </c>
      <c r="S17">
        <v>1139</v>
      </c>
      <c r="T17" s="245">
        <f>+[14]Sheet1!D17</f>
        <v>10859744.503423337</v>
      </c>
      <c r="U17" s="245">
        <f>+[14]Sheet1!I17</f>
        <v>23537.008012368868</v>
      </c>
      <c r="V17">
        <v>127</v>
      </c>
      <c r="W17" s="98">
        <v>150195.57294151324</v>
      </c>
      <c r="X17" s="98">
        <v>401.95</v>
      </c>
      <c r="Y17">
        <v>2890</v>
      </c>
      <c r="Z17" s="98">
        <v>8922.4770673463572</v>
      </c>
      <c r="AA17" s="98">
        <v>24.2</v>
      </c>
      <c r="AB17" s="98">
        <v>152</v>
      </c>
      <c r="AC17" s="98">
        <v>35665.834435100223</v>
      </c>
      <c r="AD17" s="98">
        <v>104</v>
      </c>
    </row>
    <row r="18" spans="1:30" x14ac:dyDescent="0.2">
      <c r="A18" s="3" t="str">
        <f t="shared" si="0"/>
        <v>20144</v>
      </c>
      <c r="B18" s="49">
        <f t="shared" si="1"/>
        <v>2014</v>
      </c>
      <c r="C18" s="52">
        <v>41759</v>
      </c>
      <c r="D18" s="53">
        <v>20129764.705000002</v>
      </c>
      <c r="E18" s="54">
        <v>356.90000000000003</v>
      </c>
      <c r="F18" s="54">
        <v>0</v>
      </c>
      <c r="G18" s="53">
        <v>30</v>
      </c>
      <c r="H18" s="53">
        <v>1</v>
      </c>
      <c r="I18" s="53">
        <v>336</v>
      </c>
      <c r="J18" s="53">
        <v>0</v>
      </c>
      <c r="K18" s="55">
        <v>46.4</v>
      </c>
      <c r="L18" s="53">
        <v>11580</v>
      </c>
      <c r="M18" s="53">
        <v>16</v>
      </c>
      <c r="N18" s="94">
        <v>671.8</v>
      </c>
      <c r="O18" s="56">
        <v>148.02496339899133</v>
      </c>
      <c r="P18" s="98">
        <v>6513954.0160358921</v>
      </c>
      <c r="Q18">
        <v>10310</v>
      </c>
      <c r="R18" s="98">
        <v>2866238.3052444388</v>
      </c>
      <c r="S18">
        <v>1143</v>
      </c>
      <c r="T18" s="245">
        <f>+[14]Sheet1!D18</f>
        <v>9723186.9973118491</v>
      </c>
      <c r="U18" s="245">
        <f>+[14]Sheet1!I18</f>
        <v>23338.504273919869</v>
      </c>
      <c r="V18">
        <v>127</v>
      </c>
      <c r="W18" s="98">
        <v>125220.0362560824</v>
      </c>
      <c r="X18" s="98">
        <v>401.95</v>
      </c>
      <c r="Y18">
        <v>2890</v>
      </c>
      <c r="Z18" s="98">
        <v>8634.6657216459698</v>
      </c>
      <c r="AA18" s="98">
        <v>24.2</v>
      </c>
      <c r="AB18" s="98">
        <v>152</v>
      </c>
      <c r="AC18" s="98">
        <v>31293.885806970415</v>
      </c>
      <c r="AD18" s="98">
        <v>104</v>
      </c>
    </row>
    <row r="19" spans="1:30" x14ac:dyDescent="0.2">
      <c r="A19" s="3" t="str">
        <f t="shared" si="0"/>
        <v>20145</v>
      </c>
      <c r="B19" s="49">
        <f t="shared" si="1"/>
        <v>2014</v>
      </c>
      <c r="C19" s="52">
        <v>41790</v>
      </c>
      <c r="D19" s="53">
        <v>19632003.695</v>
      </c>
      <c r="E19" s="54">
        <v>132.10000000000005</v>
      </c>
      <c r="F19" s="54">
        <v>11.9</v>
      </c>
      <c r="G19" s="53">
        <v>31</v>
      </c>
      <c r="H19" s="53">
        <v>1</v>
      </c>
      <c r="I19" s="53">
        <v>336</v>
      </c>
      <c r="J19" s="53">
        <v>0</v>
      </c>
      <c r="K19" s="55">
        <v>48.2</v>
      </c>
      <c r="L19" s="53">
        <v>11597</v>
      </c>
      <c r="M19" s="53">
        <v>17</v>
      </c>
      <c r="N19" s="94">
        <v>681.8</v>
      </c>
      <c r="O19" s="56">
        <v>148.35396772288814</v>
      </c>
      <c r="P19" s="98">
        <v>6169578.8876885222</v>
      </c>
      <c r="Q19">
        <v>10329</v>
      </c>
      <c r="R19" s="98">
        <v>2803826.8556976961</v>
      </c>
      <c r="S19">
        <v>1140</v>
      </c>
      <c r="T19" s="245">
        <f>+[14]Sheet1!D19</f>
        <v>10103187.680509016</v>
      </c>
      <c r="U19" s="245">
        <f>+[14]Sheet1!I19</f>
        <v>24745.653084963869</v>
      </c>
      <c r="V19">
        <v>128</v>
      </c>
      <c r="W19" s="98">
        <v>112994.16086251313</v>
      </c>
      <c r="X19" s="98">
        <v>401.95</v>
      </c>
      <c r="Y19">
        <v>2895</v>
      </c>
      <c r="Z19" s="98">
        <v>8925.3176496244887</v>
      </c>
      <c r="AA19" s="98">
        <v>24.2</v>
      </c>
      <c r="AB19" s="98">
        <v>152</v>
      </c>
      <c r="AC19" s="98">
        <v>30783.754003843704</v>
      </c>
      <c r="AD19" s="98">
        <v>104</v>
      </c>
    </row>
    <row r="20" spans="1:30" x14ac:dyDescent="0.2">
      <c r="A20" s="3" t="str">
        <f t="shared" si="0"/>
        <v>20146</v>
      </c>
      <c r="B20" s="49">
        <f t="shared" si="1"/>
        <v>2014</v>
      </c>
      <c r="C20" s="52">
        <v>41820</v>
      </c>
      <c r="D20" s="53">
        <v>20417295.370000001</v>
      </c>
      <c r="E20" s="54">
        <v>14.1</v>
      </c>
      <c r="F20" s="54">
        <v>68.099999999999994</v>
      </c>
      <c r="G20" s="53">
        <v>30</v>
      </c>
      <c r="H20" s="53">
        <v>0</v>
      </c>
      <c r="I20" s="53">
        <v>336</v>
      </c>
      <c r="J20" s="53">
        <v>0</v>
      </c>
      <c r="K20" s="55">
        <v>45.4</v>
      </c>
      <c r="L20" s="53">
        <v>11603</v>
      </c>
      <c r="M20" s="53">
        <v>18</v>
      </c>
      <c r="N20" s="94">
        <v>696.4</v>
      </c>
      <c r="O20" s="56">
        <v>148.68370330077519</v>
      </c>
      <c r="P20" s="98">
        <v>6416024.4975644927</v>
      </c>
      <c r="Q20">
        <v>10333</v>
      </c>
      <c r="R20" s="98">
        <v>2764523.9252690719</v>
      </c>
      <c r="S20">
        <v>1141</v>
      </c>
      <c r="T20" s="245">
        <f>+[14]Sheet1!D20</f>
        <v>10313348.418525618</v>
      </c>
      <c r="U20" s="245">
        <f>+[14]Sheet1!I20</f>
        <v>24817.275204276935</v>
      </c>
      <c r="V20">
        <v>129</v>
      </c>
      <c r="W20" s="98">
        <v>97264.736189294912</v>
      </c>
      <c r="X20" s="98">
        <v>403.36</v>
      </c>
      <c r="Y20">
        <v>2895</v>
      </c>
      <c r="Z20" s="98">
        <v>8644.0579552114741</v>
      </c>
      <c r="AA20" s="98">
        <v>24.2</v>
      </c>
      <c r="AB20" s="98">
        <v>152</v>
      </c>
      <c r="AC20" s="98">
        <v>34369.020131666839</v>
      </c>
      <c r="AD20" s="98">
        <v>104</v>
      </c>
    </row>
    <row r="21" spans="1:30" x14ac:dyDescent="0.2">
      <c r="A21" s="3" t="str">
        <f t="shared" si="0"/>
        <v>20147</v>
      </c>
      <c r="B21" s="49">
        <f t="shared" si="1"/>
        <v>2014</v>
      </c>
      <c r="C21" s="52">
        <v>41851</v>
      </c>
      <c r="D21" s="53">
        <v>20942891.695</v>
      </c>
      <c r="E21" s="54">
        <v>4</v>
      </c>
      <c r="F21" s="54">
        <v>71</v>
      </c>
      <c r="G21" s="53">
        <v>31</v>
      </c>
      <c r="H21" s="53">
        <v>0</v>
      </c>
      <c r="I21" s="53">
        <v>352</v>
      </c>
      <c r="J21" s="53">
        <v>0</v>
      </c>
      <c r="K21" s="55">
        <v>45.6</v>
      </c>
      <c r="L21" s="53">
        <v>11623</v>
      </c>
      <c r="M21" s="53">
        <v>19</v>
      </c>
      <c r="N21" s="94">
        <v>707.9</v>
      </c>
      <c r="O21" s="56">
        <v>149.0141717579576</v>
      </c>
      <c r="P21" s="98">
        <v>6897691.8560415478</v>
      </c>
      <c r="Q21">
        <v>10352</v>
      </c>
      <c r="R21" s="98">
        <v>2786860.6213146625</v>
      </c>
      <c r="S21">
        <v>1139</v>
      </c>
      <c r="T21" s="245">
        <f>+[14]Sheet1!D21</f>
        <v>10533981.86190602</v>
      </c>
      <c r="U21" s="245">
        <f>+[14]Sheet1!I21</f>
        <v>25066.77500901547</v>
      </c>
      <c r="V21">
        <v>132</v>
      </c>
      <c r="W21" s="98">
        <v>102925.60824348824</v>
      </c>
      <c r="X21" s="98">
        <v>403.36</v>
      </c>
      <c r="Y21">
        <v>2900</v>
      </c>
      <c r="Z21" s="98">
        <v>8933.5901539320039</v>
      </c>
      <c r="AA21" s="98">
        <v>23.6</v>
      </c>
      <c r="AB21" s="98">
        <v>152</v>
      </c>
      <c r="AC21" s="98">
        <v>32468.127520066337</v>
      </c>
      <c r="AD21" s="98">
        <v>104</v>
      </c>
    </row>
    <row r="22" spans="1:30" x14ac:dyDescent="0.2">
      <c r="A22" s="3" t="str">
        <f t="shared" si="0"/>
        <v>20148</v>
      </c>
      <c r="B22" s="49">
        <f t="shared" si="1"/>
        <v>2014</v>
      </c>
      <c r="C22" s="52">
        <v>41882</v>
      </c>
      <c r="D22" s="53">
        <v>20954818.989999998</v>
      </c>
      <c r="E22" s="54">
        <v>8.7999999999999989</v>
      </c>
      <c r="F22" s="54">
        <v>81.799999999999983</v>
      </c>
      <c r="G22" s="53">
        <v>31</v>
      </c>
      <c r="H22" s="53">
        <v>0</v>
      </c>
      <c r="I22" s="53">
        <v>336</v>
      </c>
      <c r="J22" s="53">
        <v>0</v>
      </c>
      <c r="K22" s="55">
        <v>45.4</v>
      </c>
      <c r="L22" s="53">
        <v>11640</v>
      </c>
      <c r="M22" s="53">
        <v>20</v>
      </c>
      <c r="N22" s="94">
        <v>712</v>
      </c>
      <c r="O22" s="56">
        <v>149.34537472335285</v>
      </c>
      <c r="P22" s="98">
        <v>6802676.8615462631</v>
      </c>
      <c r="Q22">
        <v>10365</v>
      </c>
      <c r="R22" s="98">
        <v>2736195.7668262743</v>
      </c>
      <c r="S22">
        <v>1138</v>
      </c>
      <c r="T22" s="245">
        <f>+[14]Sheet1!D22</f>
        <v>10516551.167014407</v>
      </c>
      <c r="U22" s="245">
        <f>+[14]Sheet1!I22</f>
        <v>24891.95078608223</v>
      </c>
      <c r="V22">
        <v>137</v>
      </c>
      <c r="W22" s="98">
        <v>124105.72464459499</v>
      </c>
      <c r="X22" s="98">
        <v>403.54999999999995</v>
      </c>
      <c r="Y22">
        <v>2905</v>
      </c>
      <c r="Z22" s="98">
        <v>8933.5501040906038</v>
      </c>
      <c r="AA22" s="98">
        <v>24.1</v>
      </c>
      <c r="AB22" s="98">
        <v>152</v>
      </c>
      <c r="AC22" s="98">
        <v>31191.597537191905</v>
      </c>
      <c r="AD22" s="98">
        <v>104</v>
      </c>
    </row>
    <row r="23" spans="1:30" x14ac:dyDescent="0.2">
      <c r="A23" s="3" t="str">
        <f t="shared" si="0"/>
        <v>20149</v>
      </c>
      <c r="B23" s="49">
        <f t="shared" si="1"/>
        <v>2014</v>
      </c>
      <c r="C23" s="52">
        <v>41912</v>
      </c>
      <c r="D23" s="53">
        <v>20036155.765000001</v>
      </c>
      <c r="E23" s="54">
        <v>69.700000000000017</v>
      </c>
      <c r="F23" s="54">
        <v>30.099999999999998</v>
      </c>
      <c r="G23" s="53">
        <v>30</v>
      </c>
      <c r="H23" s="53">
        <v>1</v>
      </c>
      <c r="I23" s="53">
        <v>336</v>
      </c>
      <c r="J23" s="53">
        <v>0</v>
      </c>
      <c r="K23" s="55">
        <v>46.5</v>
      </c>
      <c r="L23" s="53">
        <v>11655</v>
      </c>
      <c r="M23" s="53">
        <v>21</v>
      </c>
      <c r="N23" s="94">
        <v>713</v>
      </c>
      <c r="O23" s="56">
        <v>149.67731382949896</v>
      </c>
      <c r="P23" s="98">
        <v>6227865.5993509563</v>
      </c>
      <c r="Q23">
        <v>10380</v>
      </c>
      <c r="R23" s="98">
        <v>2545225.6643807525</v>
      </c>
      <c r="S23">
        <v>1139</v>
      </c>
      <c r="T23" s="245">
        <f>+[14]Sheet1!D23</f>
        <v>10493808.316937126</v>
      </c>
      <c r="U23" s="245">
        <f>+[14]Sheet1!I23</f>
        <v>26340.691633010807</v>
      </c>
      <c r="V23">
        <v>136</v>
      </c>
      <c r="W23" s="98">
        <v>136741.074324969</v>
      </c>
      <c r="X23" s="98">
        <v>401.94</v>
      </c>
      <c r="Y23">
        <v>2911</v>
      </c>
      <c r="Z23" s="98">
        <v>8645.4093214886143</v>
      </c>
      <c r="AA23" s="98">
        <v>24.1</v>
      </c>
      <c r="AB23" s="98">
        <v>152</v>
      </c>
      <c r="AC23" s="98">
        <v>33711.57505041964</v>
      </c>
      <c r="AD23" s="98">
        <v>104</v>
      </c>
    </row>
    <row r="24" spans="1:30" x14ac:dyDescent="0.2">
      <c r="A24" s="3" t="str">
        <f t="shared" si="0"/>
        <v>201410</v>
      </c>
      <c r="B24" s="49">
        <f t="shared" si="1"/>
        <v>2014</v>
      </c>
      <c r="C24" s="52">
        <v>41943</v>
      </c>
      <c r="D24" s="53">
        <v>20750967.593591224</v>
      </c>
      <c r="E24" s="54">
        <v>224.30000000000004</v>
      </c>
      <c r="F24" s="54">
        <v>1.3</v>
      </c>
      <c r="G24" s="53">
        <v>31</v>
      </c>
      <c r="H24" s="53">
        <v>1</v>
      </c>
      <c r="I24" s="53">
        <v>352</v>
      </c>
      <c r="J24" s="53">
        <v>0</v>
      </c>
      <c r="K24" s="55">
        <v>39.799999999999997</v>
      </c>
      <c r="L24" s="53">
        <v>11666</v>
      </c>
      <c r="M24" s="53">
        <v>22</v>
      </c>
      <c r="N24" s="94">
        <v>716.9</v>
      </c>
      <c r="O24" s="56">
        <v>150.00999071256246</v>
      </c>
      <c r="P24" s="98">
        <v>6529909.7891168203</v>
      </c>
      <c r="Q24">
        <v>10386</v>
      </c>
      <c r="R24" s="98">
        <v>2605474.841431282</v>
      </c>
      <c r="S24">
        <v>1140</v>
      </c>
      <c r="T24" s="245">
        <f>+[14]Sheet1!D24</f>
        <v>10593354.028543459</v>
      </c>
      <c r="U24" s="245">
        <f>+[14]Sheet1!I24</f>
        <v>28241.293893678059</v>
      </c>
      <c r="V24">
        <v>140</v>
      </c>
      <c r="W24" s="98">
        <v>161315.71414941325</v>
      </c>
      <c r="X24" s="98">
        <v>402.34</v>
      </c>
      <c r="Y24">
        <v>2911</v>
      </c>
      <c r="Z24" s="98">
        <v>8933.6221325664155</v>
      </c>
      <c r="AA24" s="98">
        <v>24.1</v>
      </c>
      <c r="AB24" s="98">
        <v>152</v>
      </c>
      <c r="AC24" s="98">
        <v>31819.637330936548</v>
      </c>
      <c r="AD24" s="98">
        <v>104</v>
      </c>
    </row>
    <row r="25" spans="1:30" x14ac:dyDescent="0.2">
      <c r="A25" s="3" t="str">
        <f t="shared" si="0"/>
        <v>201411</v>
      </c>
      <c r="B25" s="49">
        <f t="shared" si="1"/>
        <v>2014</v>
      </c>
      <c r="C25" s="52">
        <v>41973</v>
      </c>
      <c r="D25" s="53">
        <v>21634719.905000001</v>
      </c>
      <c r="E25" s="54">
        <v>482.1</v>
      </c>
      <c r="F25" s="54">
        <v>0</v>
      </c>
      <c r="G25" s="53">
        <v>30</v>
      </c>
      <c r="H25" s="53">
        <v>1</v>
      </c>
      <c r="I25" s="53">
        <v>320</v>
      </c>
      <c r="J25" s="53">
        <v>0</v>
      </c>
      <c r="K25" s="55">
        <v>36.4</v>
      </c>
      <c r="L25" s="53">
        <v>11669</v>
      </c>
      <c r="M25" s="53">
        <v>23</v>
      </c>
      <c r="N25" s="94">
        <v>714.5</v>
      </c>
      <c r="O25" s="56">
        <v>150.34340701234646</v>
      </c>
      <c r="P25" s="98">
        <v>7206468.1436634045</v>
      </c>
      <c r="Q25">
        <v>10393</v>
      </c>
      <c r="R25" s="98">
        <v>2844497.9177696966</v>
      </c>
      <c r="S25">
        <v>1137</v>
      </c>
      <c r="T25" s="245">
        <f>+[14]Sheet1!D25</f>
        <v>10496189.641226124</v>
      </c>
      <c r="U25" s="245">
        <f>+[14]Sheet1!I25</f>
        <v>21578.466772785716</v>
      </c>
      <c r="V25">
        <v>139</v>
      </c>
      <c r="W25" s="98">
        <v>178337.44871672557</v>
      </c>
      <c r="X25" s="98">
        <v>402.34</v>
      </c>
      <c r="Y25">
        <v>2911</v>
      </c>
      <c r="Z25" s="98">
        <v>8645.4009951996777</v>
      </c>
      <c r="AA25" s="98">
        <v>24.1</v>
      </c>
      <c r="AB25" s="98">
        <v>151</v>
      </c>
      <c r="AC25" s="98">
        <v>30540.595420795111</v>
      </c>
      <c r="AD25" s="98">
        <v>104</v>
      </c>
    </row>
    <row r="26" spans="1:30" x14ac:dyDescent="0.2">
      <c r="A26" s="3" t="str">
        <f t="shared" si="0"/>
        <v>201412</v>
      </c>
      <c r="B26" s="49">
        <f t="shared" si="1"/>
        <v>2014</v>
      </c>
      <c r="C26" s="52">
        <v>42004</v>
      </c>
      <c r="D26" s="53">
        <v>22349924.59</v>
      </c>
      <c r="E26" s="54">
        <v>557.29999999999995</v>
      </c>
      <c r="F26" s="54">
        <v>0</v>
      </c>
      <c r="G26" s="53">
        <v>31</v>
      </c>
      <c r="H26" s="53">
        <v>0</v>
      </c>
      <c r="I26" s="53">
        <v>336</v>
      </c>
      <c r="J26" s="53">
        <v>0</v>
      </c>
      <c r="K26" s="55">
        <v>36.1</v>
      </c>
      <c r="L26" s="53">
        <v>11685</v>
      </c>
      <c r="M26" s="53">
        <v>24</v>
      </c>
      <c r="N26" s="94">
        <v>707.8</v>
      </c>
      <c r="O26" s="56">
        <v>150.67756437229883</v>
      </c>
      <c r="P26" s="98">
        <v>8427271.5192839336</v>
      </c>
      <c r="Q26">
        <v>10407</v>
      </c>
      <c r="R26" s="98">
        <v>3189633.3607349866</v>
      </c>
      <c r="S26">
        <v>1139</v>
      </c>
      <c r="T26" s="245">
        <f>+[14]Sheet1!D26</f>
        <v>10082962.762310753</v>
      </c>
      <c r="U26" s="245">
        <f>+[14]Sheet1!I26</f>
        <v>24184.012931168745</v>
      </c>
      <c r="V26">
        <v>139</v>
      </c>
      <c r="W26" s="98">
        <v>190206.57380020994</v>
      </c>
      <c r="X26" s="98">
        <v>401.84</v>
      </c>
      <c r="Y26">
        <v>2915</v>
      </c>
      <c r="Z26" s="98">
        <v>8933.5680235689742</v>
      </c>
      <c r="AA26" s="98">
        <v>24.1</v>
      </c>
      <c r="AB26" s="98">
        <v>151</v>
      </c>
      <c r="AC26" s="98">
        <v>32501.854085674775</v>
      </c>
      <c r="AD26" s="98">
        <v>104</v>
      </c>
    </row>
    <row r="27" spans="1:30" x14ac:dyDescent="0.2">
      <c r="A27" s="3" t="str">
        <f t="shared" si="0"/>
        <v>20151</v>
      </c>
      <c r="B27" s="49">
        <f t="shared" si="1"/>
        <v>2015</v>
      </c>
      <c r="C27" s="52">
        <v>42035</v>
      </c>
      <c r="D27" s="53">
        <v>24334160.370000001</v>
      </c>
      <c r="E27" s="54">
        <v>792.39999999999975</v>
      </c>
      <c r="F27" s="54">
        <v>0</v>
      </c>
      <c r="G27" s="53">
        <v>31</v>
      </c>
      <c r="H27" s="53">
        <v>0</v>
      </c>
      <c r="I27" s="53">
        <v>336</v>
      </c>
      <c r="J27" s="53">
        <v>0</v>
      </c>
      <c r="K27" s="55">
        <v>37.6</v>
      </c>
      <c r="L27" s="53">
        <v>11706</v>
      </c>
      <c r="M27" s="53">
        <v>25</v>
      </c>
      <c r="N27" s="94">
        <v>699.3</v>
      </c>
      <c r="O27" s="56">
        <v>150.98793548444445</v>
      </c>
      <c r="P27" s="98">
        <v>8777798.2883950304</v>
      </c>
      <c r="Q27">
        <v>10426</v>
      </c>
      <c r="R27" s="98">
        <v>3380881.7015827144</v>
      </c>
      <c r="S27">
        <v>1141</v>
      </c>
      <c r="T27" s="245">
        <f>+[14]Sheet1!D27</f>
        <v>10843915.526904207</v>
      </c>
      <c r="U27" s="245">
        <f>+[14]Sheet1!I27</f>
        <v>23975.194890326205</v>
      </c>
      <c r="V27">
        <v>139</v>
      </c>
      <c r="W27" s="98">
        <v>185148.23967178704</v>
      </c>
      <c r="X27" s="98">
        <v>401.76</v>
      </c>
      <c r="Y27">
        <v>2915</v>
      </c>
      <c r="Z27" s="98">
        <v>8919.9119401140142</v>
      </c>
      <c r="AA27" s="98">
        <v>24.1</v>
      </c>
      <c r="AB27" s="98">
        <v>151</v>
      </c>
      <c r="AC27" s="98">
        <v>30275.587304825101</v>
      </c>
      <c r="AD27" s="98">
        <v>99</v>
      </c>
    </row>
    <row r="28" spans="1:30" x14ac:dyDescent="0.2">
      <c r="A28" s="3" t="str">
        <f t="shared" si="0"/>
        <v>20152</v>
      </c>
      <c r="B28" s="49">
        <f t="shared" si="1"/>
        <v>2015</v>
      </c>
      <c r="C28" s="52">
        <v>42063</v>
      </c>
      <c r="D28" s="53">
        <v>22733400.235000003</v>
      </c>
      <c r="E28" s="54">
        <v>856.8</v>
      </c>
      <c r="F28" s="54">
        <v>0</v>
      </c>
      <c r="G28" s="53">
        <v>28</v>
      </c>
      <c r="H28" s="53">
        <v>0</v>
      </c>
      <c r="I28" s="53">
        <v>304</v>
      </c>
      <c r="J28" s="53">
        <v>0</v>
      </c>
      <c r="K28" s="55">
        <v>40.299999999999997</v>
      </c>
      <c r="L28" s="53">
        <v>11720</v>
      </c>
      <c r="M28" s="53">
        <v>26</v>
      </c>
      <c r="N28" s="94">
        <v>694.3</v>
      </c>
      <c r="O28" s="56">
        <v>151.298945910264</v>
      </c>
      <c r="P28" s="98">
        <v>8030902.6386548625</v>
      </c>
      <c r="Q28">
        <v>10441</v>
      </c>
      <c r="R28" s="98">
        <v>3224179.0436825966</v>
      </c>
      <c r="S28">
        <v>1140</v>
      </c>
      <c r="T28" s="245">
        <f>+[14]Sheet1!D28</f>
        <v>10077174.616960499</v>
      </c>
      <c r="U28" s="245">
        <f>+[14]Sheet1!I28</f>
        <v>23954.410546161416</v>
      </c>
      <c r="V28">
        <v>139</v>
      </c>
      <c r="W28" s="98">
        <v>168174.71615303887</v>
      </c>
      <c r="X28" s="98">
        <v>401.76</v>
      </c>
      <c r="Y28">
        <v>2915</v>
      </c>
      <c r="Z28" s="98">
        <v>7973.282547871052</v>
      </c>
      <c r="AA28" s="98">
        <v>24.4</v>
      </c>
      <c r="AB28" s="98">
        <v>150</v>
      </c>
      <c r="AC28" s="98">
        <v>31138.363108848625</v>
      </c>
      <c r="AD28" s="98">
        <v>99</v>
      </c>
    </row>
    <row r="29" spans="1:30" x14ac:dyDescent="0.2">
      <c r="A29" s="3" t="str">
        <f t="shared" si="0"/>
        <v>20153</v>
      </c>
      <c r="B29" s="49">
        <f t="shared" si="1"/>
        <v>2015</v>
      </c>
      <c r="C29" s="52">
        <v>42094</v>
      </c>
      <c r="D29" s="53">
        <v>22719770.995000001</v>
      </c>
      <c r="E29" s="54">
        <v>615.49999999999989</v>
      </c>
      <c r="F29" s="54">
        <v>0</v>
      </c>
      <c r="G29" s="53">
        <v>31</v>
      </c>
      <c r="H29" s="53">
        <v>1</v>
      </c>
      <c r="I29" s="53">
        <v>352</v>
      </c>
      <c r="J29" s="53">
        <v>0</v>
      </c>
      <c r="K29" s="55">
        <v>42.7</v>
      </c>
      <c r="L29" s="53">
        <v>11736</v>
      </c>
      <c r="M29" s="53">
        <v>27</v>
      </c>
      <c r="N29" s="94">
        <v>692.8</v>
      </c>
      <c r="O29" s="56">
        <v>151.61059696663892</v>
      </c>
      <c r="P29" s="98">
        <v>7795811.7665634621</v>
      </c>
      <c r="Q29">
        <v>10457</v>
      </c>
      <c r="R29" s="98">
        <v>3203091.2665557768</v>
      </c>
      <c r="S29">
        <v>1140</v>
      </c>
      <c r="T29" s="245">
        <f>+[14]Sheet1!D29</f>
        <v>10788039.380518273</v>
      </c>
      <c r="U29" s="245">
        <f>+[14]Sheet1!I29</f>
        <v>23405.129886305138</v>
      </c>
      <c r="V29">
        <v>139</v>
      </c>
      <c r="W29" s="98">
        <v>150317.91813758234</v>
      </c>
      <c r="X29" s="98">
        <v>401.76</v>
      </c>
      <c r="Y29">
        <v>2915</v>
      </c>
      <c r="Z29" s="98">
        <v>8827.6077800646108</v>
      </c>
      <c r="AA29" s="98">
        <v>23.8</v>
      </c>
      <c r="AB29" s="98">
        <v>150</v>
      </c>
      <c r="AC29" s="98">
        <v>35256.156718960861</v>
      </c>
      <c r="AD29" s="98">
        <v>99</v>
      </c>
    </row>
    <row r="30" spans="1:30" x14ac:dyDescent="0.2">
      <c r="A30" s="3" t="str">
        <f t="shared" si="0"/>
        <v>20154</v>
      </c>
      <c r="B30" s="49">
        <f t="shared" si="1"/>
        <v>2015</v>
      </c>
      <c r="C30" s="52">
        <v>42124</v>
      </c>
      <c r="D30" s="53">
        <v>19884327.555</v>
      </c>
      <c r="E30" s="54">
        <v>313.7</v>
      </c>
      <c r="F30" s="54">
        <v>0</v>
      </c>
      <c r="G30" s="53">
        <v>30</v>
      </c>
      <c r="H30" s="53">
        <v>1</v>
      </c>
      <c r="I30" s="53">
        <v>336</v>
      </c>
      <c r="J30" s="53">
        <v>0</v>
      </c>
      <c r="K30" s="55">
        <v>46.7</v>
      </c>
      <c r="L30" s="53">
        <v>11746</v>
      </c>
      <c r="M30" s="53">
        <v>28</v>
      </c>
      <c r="N30" s="94">
        <v>692.5</v>
      </c>
      <c r="O30" s="56">
        <v>151.92288997316331</v>
      </c>
      <c r="P30" s="98">
        <v>6327575.3603840079</v>
      </c>
      <c r="Q30">
        <v>10473</v>
      </c>
      <c r="R30" s="98">
        <v>2683256.2650962495</v>
      </c>
      <c r="S30">
        <v>1134</v>
      </c>
      <c r="T30" s="245">
        <f>+[14]Sheet1!D30</f>
        <v>10207841.0129667</v>
      </c>
      <c r="U30" s="245">
        <f>+[14]Sheet1!I30</f>
        <v>23718.690206793366</v>
      </c>
      <c r="V30">
        <v>139</v>
      </c>
      <c r="W30" s="98">
        <v>125589.07546989791</v>
      </c>
      <c r="X30" s="98">
        <v>402.62</v>
      </c>
      <c r="Y30">
        <v>2924</v>
      </c>
      <c r="Z30" s="98">
        <v>8542.8380607084928</v>
      </c>
      <c r="AA30" s="98">
        <v>23.8</v>
      </c>
      <c r="AB30" s="98">
        <v>151</v>
      </c>
      <c r="AC30" s="98">
        <v>30706.991562964289</v>
      </c>
      <c r="AD30" s="98">
        <v>96</v>
      </c>
    </row>
    <row r="31" spans="1:30" x14ac:dyDescent="0.2">
      <c r="A31" s="3" t="str">
        <f t="shared" si="0"/>
        <v>20155</v>
      </c>
      <c r="B31" s="49">
        <f t="shared" si="1"/>
        <v>2015</v>
      </c>
      <c r="C31" s="52">
        <v>42155</v>
      </c>
      <c r="D31" s="53">
        <v>20081857.650000002</v>
      </c>
      <c r="E31" s="54">
        <v>89.3</v>
      </c>
      <c r="F31" s="54">
        <v>34.1</v>
      </c>
      <c r="G31" s="53">
        <v>31</v>
      </c>
      <c r="H31" s="53">
        <v>1</v>
      </c>
      <c r="I31" s="53">
        <v>320</v>
      </c>
      <c r="J31" s="53">
        <v>0</v>
      </c>
      <c r="K31" s="55">
        <v>46.5</v>
      </c>
      <c r="L31" s="53">
        <v>11765</v>
      </c>
      <c r="M31" s="53">
        <v>29</v>
      </c>
      <c r="N31" s="94">
        <v>699.3</v>
      </c>
      <c r="O31" s="56">
        <v>152.23582625214937</v>
      </c>
      <c r="P31" s="98">
        <v>6241105.0666620452</v>
      </c>
      <c r="Q31">
        <v>10492</v>
      </c>
      <c r="R31" s="98">
        <v>2662329.749730086</v>
      </c>
      <c r="S31">
        <v>1134</v>
      </c>
      <c r="T31" s="245">
        <f>+[14]Sheet1!D31</f>
        <v>10422580.948181376</v>
      </c>
      <c r="U31" s="245">
        <f>+[14]Sheet1!I31</f>
        <v>24758.488074134257</v>
      </c>
      <c r="V31">
        <v>139</v>
      </c>
      <c r="W31" s="98">
        <v>113187.53935693159</v>
      </c>
      <c r="X31" s="98">
        <v>402.62</v>
      </c>
      <c r="Y31">
        <v>2924</v>
      </c>
      <c r="Z31" s="98">
        <v>8827.5968759796633</v>
      </c>
      <c r="AA31" s="98">
        <v>23.8</v>
      </c>
      <c r="AB31" s="98">
        <v>151</v>
      </c>
      <c r="AC31" s="98">
        <v>30706.997015006767</v>
      </c>
      <c r="AD31" s="98">
        <v>96</v>
      </c>
    </row>
    <row r="32" spans="1:30" x14ac:dyDescent="0.2">
      <c r="A32" s="3" t="str">
        <f t="shared" si="0"/>
        <v>20156</v>
      </c>
      <c r="B32" s="49">
        <f t="shared" si="1"/>
        <v>2015</v>
      </c>
      <c r="C32" s="52">
        <v>42185</v>
      </c>
      <c r="D32" s="53">
        <v>19967931.074999999</v>
      </c>
      <c r="E32" s="54">
        <v>33.800000000000004</v>
      </c>
      <c r="F32" s="54">
        <v>32.299999999999997</v>
      </c>
      <c r="G32" s="53">
        <v>30</v>
      </c>
      <c r="H32" s="53">
        <v>0</v>
      </c>
      <c r="I32" s="53">
        <v>352</v>
      </c>
      <c r="J32" s="53">
        <v>0</v>
      </c>
      <c r="K32" s="55">
        <v>40.1</v>
      </c>
      <c r="L32" s="53">
        <v>11773</v>
      </c>
      <c r="M32" s="53">
        <v>30</v>
      </c>
      <c r="N32" s="94">
        <v>709.6</v>
      </c>
      <c r="O32" s="56">
        <v>152.54940712863302</v>
      </c>
      <c r="P32" s="98">
        <v>6415659.5806189217</v>
      </c>
      <c r="Q32">
        <v>10499</v>
      </c>
      <c r="R32" s="98">
        <v>2599508.7240229519</v>
      </c>
      <c r="S32">
        <v>1135</v>
      </c>
      <c r="T32" s="245">
        <f>+[14]Sheet1!D32</f>
        <v>10485931.914641924</v>
      </c>
      <c r="U32" s="245">
        <f>+[14]Sheet1!I32</f>
        <v>24982.84831291622</v>
      </c>
      <c r="V32">
        <v>139</v>
      </c>
      <c r="W32" s="98">
        <v>97067.035588207218</v>
      </c>
      <c r="X32" s="98">
        <v>402.62</v>
      </c>
      <c r="Y32">
        <v>2924</v>
      </c>
      <c r="Z32" s="98">
        <v>8542.8391511169866</v>
      </c>
      <c r="AA32" s="98">
        <v>23.8</v>
      </c>
      <c r="AB32" s="98">
        <v>151</v>
      </c>
      <c r="AC32" s="98">
        <v>31161.893358049248</v>
      </c>
      <c r="AD32" s="98">
        <v>96</v>
      </c>
    </row>
    <row r="33" spans="1:30" x14ac:dyDescent="0.2">
      <c r="A33" s="3" t="str">
        <f t="shared" si="0"/>
        <v>20157</v>
      </c>
      <c r="B33" s="49">
        <f t="shared" si="1"/>
        <v>2015</v>
      </c>
      <c r="C33" s="52">
        <v>42216</v>
      </c>
      <c r="D33" s="53">
        <v>22033398.199999999</v>
      </c>
      <c r="E33" s="54">
        <v>4</v>
      </c>
      <c r="F33" s="54">
        <v>114.29999999999998</v>
      </c>
      <c r="G33" s="53">
        <v>31</v>
      </c>
      <c r="H33" s="53">
        <v>0</v>
      </c>
      <c r="I33" s="53">
        <v>352</v>
      </c>
      <c r="J33" s="53">
        <v>0</v>
      </c>
      <c r="K33" s="55">
        <v>38.6</v>
      </c>
      <c r="L33" s="53">
        <v>11778</v>
      </c>
      <c r="M33" s="53">
        <v>31</v>
      </c>
      <c r="N33" s="94">
        <v>711.7</v>
      </c>
      <c r="O33" s="56">
        <v>152.86363393037959</v>
      </c>
      <c r="P33" s="98">
        <v>7325380.8326530652</v>
      </c>
      <c r="Q33">
        <v>10510</v>
      </c>
      <c r="R33" s="98">
        <v>2790016.5198710398</v>
      </c>
      <c r="S33">
        <v>1129</v>
      </c>
      <c r="T33" s="245">
        <f>+[14]Sheet1!D33</f>
        <v>10510614.235464079</v>
      </c>
      <c r="U33" s="245">
        <f>+[14]Sheet1!I33</f>
        <v>23739.944048142752</v>
      </c>
      <c r="V33">
        <v>139</v>
      </c>
      <c r="W33" s="98">
        <v>102614.09216677799</v>
      </c>
      <c r="X33" s="98">
        <v>402.62</v>
      </c>
      <c r="Y33">
        <v>2926</v>
      </c>
      <c r="Z33" s="98">
        <v>8827.5957855711713</v>
      </c>
      <c r="AA33" s="98">
        <v>23.8</v>
      </c>
      <c r="AB33" s="98">
        <v>151</v>
      </c>
      <c r="AC33" s="98">
        <v>30252.057055624518</v>
      </c>
      <c r="AD33" s="98">
        <v>95</v>
      </c>
    </row>
    <row r="34" spans="1:30" x14ac:dyDescent="0.2">
      <c r="A34" s="3" t="str">
        <f t="shared" si="0"/>
        <v>20158</v>
      </c>
      <c r="B34" s="49">
        <f t="shared" si="1"/>
        <v>2015</v>
      </c>
      <c r="C34" s="52">
        <v>42247</v>
      </c>
      <c r="D34" s="53">
        <v>21201546.775000002</v>
      </c>
      <c r="E34" s="54">
        <v>4.4000000000000004</v>
      </c>
      <c r="F34" s="54">
        <v>88.6</v>
      </c>
      <c r="G34" s="53">
        <v>31</v>
      </c>
      <c r="H34" s="53">
        <v>0</v>
      </c>
      <c r="I34" s="53">
        <v>336</v>
      </c>
      <c r="J34" s="53">
        <v>0</v>
      </c>
      <c r="K34" s="55">
        <v>41.8</v>
      </c>
      <c r="L34" s="53">
        <v>11790</v>
      </c>
      <c r="M34" s="53">
        <v>32</v>
      </c>
      <c r="N34" s="94">
        <v>709.2</v>
      </c>
      <c r="O34" s="56">
        <v>153.17850798788936</v>
      </c>
      <c r="P34" s="98">
        <v>7501900.4575071251</v>
      </c>
      <c r="Q34">
        <v>10520</v>
      </c>
      <c r="R34" s="98">
        <v>2801406.2380644064</v>
      </c>
      <c r="S34">
        <v>1132</v>
      </c>
      <c r="T34" s="245">
        <f>+[14]Sheet1!D34</f>
        <v>10524720.586289093</v>
      </c>
      <c r="U34" s="245">
        <f>+[14]Sheet1!I34</f>
        <v>24657.430385435579</v>
      </c>
      <c r="V34">
        <v>138</v>
      </c>
      <c r="W34" s="98">
        <v>123374.91651559966</v>
      </c>
      <c r="X34" s="98">
        <v>401.15</v>
      </c>
      <c r="Y34">
        <v>2926</v>
      </c>
      <c r="Z34" s="98">
        <v>8827.5769920600651</v>
      </c>
      <c r="AA34" s="98">
        <v>23.8</v>
      </c>
      <c r="AB34" s="98">
        <v>151</v>
      </c>
      <c r="AC34" s="98">
        <v>32832.661141930279</v>
      </c>
      <c r="AD34" s="98">
        <v>95</v>
      </c>
    </row>
    <row r="35" spans="1:30" x14ac:dyDescent="0.2">
      <c r="A35" s="3" t="str">
        <f t="shared" si="0"/>
        <v>20159</v>
      </c>
      <c r="B35" s="49">
        <f t="shared" si="1"/>
        <v>2015</v>
      </c>
      <c r="C35" s="52">
        <v>42277</v>
      </c>
      <c r="D35" s="53">
        <v>21227652.564999998</v>
      </c>
      <c r="E35" s="54">
        <v>31.099999999999994</v>
      </c>
      <c r="F35" s="54">
        <v>81.900000000000006</v>
      </c>
      <c r="G35" s="53">
        <v>30</v>
      </c>
      <c r="H35" s="53">
        <v>1</v>
      </c>
      <c r="I35" s="53">
        <v>336</v>
      </c>
      <c r="J35" s="53">
        <v>0</v>
      </c>
      <c r="K35" s="55">
        <v>42.5</v>
      </c>
      <c r="L35" s="53">
        <v>11800</v>
      </c>
      <c r="M35" s="53">
        <v>33</v>
      </c>
      <c r="N35" s="94">
        <v>706.5</v>
      </c>
      <c r="O35" s="56">
        <v>153.4940306344032</v>
      </c>
      <c r="P35" s="98">
        <v>6683734.586670192</v>
      </c>
      <c r="Q35">
        <v>10532</v>
      </c>
      <c r="R35" s="98">
        <v>2587431.182492767</v>
      </c>
      <c r="S35">
        <v>1130</v>
      </c>
      <c r="T35" s="245">
        <f>+[14]Sheet1!D35</f>
        <v>10618102.709317336</v>
      </c>
      <c r="U35" s="245">
        <f>+[14]Sheet1!I35</f>
        <v>25802.932851348629</v>
      </c>
      <c r="V35">
        <v>138</v>
      </c>
      <c r="W35" s="98">
        <v>136466.78752027478</v>
      </c>
      <c r="X35" s="98">
        <v>401.15</v>
      </c>
      <c r="Y35">
        <v>2926</v>
      </c>
      <c r="Z35" s="98">
        <v>8542.7717459566029</v>
      </c>
      <c r="AA35" s="98">
        <v>23.8</v>
      </c>
      <c r="AB35" s="98">
        <v>151</v>
      </c>
      <c r="AC35" s="98">
        <v>29366.107941980859</v>
      </c>
      <c r="AD35" s="98">
        <v>95</v>
      </c>
    </row>
    <row r="36" spans="1:30" x14ac:dyDescent="0.2">
      <c r="A36" s="3" t="str">
        <f t="shared" si="0"/>
        <v>201510</v>
      </c>
      <c r="B36" s="49">
        <f t="shared" si="1"/>
        <v>2015</v>
      </c>
      <c r="C36" s="52">
        <v>42308</v>
      </c>
      <c r="D36" s="53">
        <v>20191537.286509268</v>
      </c>
      <c r="E36" s="54">
        <v>249.8</v>
      </c>
      <c r="F36" s="54">
        <v>0</v>
      </c>
      <c r="G36" s="53">
        <v>31</v>
      </c>
      <c r="H36" s="53">
        <v>1</v>
      </c>
      <c r="I36" s="53">
        <v>336</v>
      </c>
      <c r="J36" s="53">
        <v>0</v>
      </c>
      <c r="K36" s="55">
        <v>39.200000000000003</v>
      </c>
      <c r="L36" s="53">
        <v>11810</v>
      </c>
      <c r="M36" s="53">
        <v>34</v>
      </c>
      <c r="N36" s="94">
        <v>712.7</v>
      </c>
      <c r="O36" s="56">
        <v>153.81020320590829</v>
      </c>
      <c r="P36" s="98">
        <v>6344944.6177294478</v>
      </c>
      <c r="Q36">
        <v>10543</v>
      </c>
      <c r="R36" s="98">
        <v>2571091.6907071383</v>
      </c>
      <c r="S36">
        <v>1128</v>
      </c>
      <c r="T36" s="245">
        <f>+[14]Sheet1!D36</f>
        <v>10494408.002822535</v>
      </c>
      <c r="U36" s="245">
        <f>+[14]Sheet1!I36</f>
        <v>23811.342862172565</v>
      </c>
      <c r="V36">
        <v>139</v>
      </c>
      <c r="W36" s="98">
        <v>145988.72245014791</v>
      </c>
      <c r="X36" s="98">
        <v>364.25</v>
      </c>
      <c r="Y36">
        <v>2926</v>
      </c>
      <c r="Z36" s="98">
        <v>8827.560403695541</v>
      </c>
      <c r="AA36" s="98">
        <v>23.79</v>
      </c>
      <c r="AB36" s="98">
        <v>151</v>
      </c>
      <c r="AC36" s="98">
        <v>34471.338048723395</v>
      </c>
      <c r="AD36" s="98">
        <v>96</v>
      </c>
    </row>
    <row r="37" spans="1:30" x14ac:dyDescent="0.2">
      <c r="A37" s="3" t="str">
        <f t="shared" si="0"/>
        <v>201511</v>
      </c>
      <c r="B37" s="49">
        <f t="shared" si="1"/>
        <v>2015</v>
      </c>
      <c r="C37" s="52">
        <v>42338</v>
      </c>
      <c r="D37" s="53">
        <v>20615659.954999998</v>
      </c>
      <c r="E37" s="54">
        <v>345</v>
      </c>
      <c r="F37" s="54">
        <v>0</v>
      </c>
      <c r="G37" s="53">
        <v>30</v>
      </c>
      <c r="H37" s="53">
        <v>1</v>
      </c>
      <c r="I37" s="53">
        <v>336</v>
      </c>
      <c r="J37" s="53">
        <v>0</v>
      </c>
      <c r="K37" s="55">
        <v>33.1</v>
      </c>
      <c r="L37" s="53">
        <v>11831</v>
      </c>
      <c r="M37" s="53">
        <v>35</v>
      </c>
      <c r="N37" s="94">
        <v>716.9</v>
      </c>
      <c r="O37" s="56">
        <v>154.12702704114372</v>
      </c>
      <c r="P37" s="98">
        <v>6671117.8598193265</v>
      </c>
      <c r="Q37">
        <v>10562</v>
      </c>
      <c r="R37" s="98">
        <v>2679462.177112163</v>
      </c>
      <c r="S37">
        <v>1130</v>
      </c>
      <c r="T37" s="245">
        <f>+[14]Sheet1!D37</f>
        <v>10500758.140191013</v>
      </c>
      <c r="U37" s="245">
        <f>+[14]Sheet1!I37</f>
        <v>24163.413620559895</v>
      </c>
      <c r="V37">
        <v>139</v>
      </c>
      <c r="W37" s="98">
        <v>144735.50233756323</v>
      </c>
      <c r="X37" s="98">
        <v>326.83</v>
      </c>
      <c r="Y37">
        <v>2926</v>
      </c>
      <c r="Z37" s="98">
        <v>8542.8462387722066</v>
      </c>
      <c r="AA37" s="98">
        <v>23.8</v>
      </c>
      <c r="AB37" s="98">
        <v>151</v>
      </c>
      <c r="AC37" s="98">
        <v>34118.861340929849</v>
      </c>
      <c r="AD37" s="98">
        <v>96</v>
      </c>
    </row>
    <row r="38" spans="1:30" x14ac:dyDescent="0.2">
      <c r="A38" s="3" t="str">
        <f t="shared" si="0"/>
        <v>201512</v>
      </c>
      <c r="B38" s="49">
        <f t="shared" si="1"/>
        <v>2015</v>
      </c>
      <c r="C38" s="52">
        <v>42369</v>
      </c>
      <c r="D38" s="53">
        <v>21383445.974999998</v>
      </c>
      <c r="E38" s="54">
        <v>429.70000000000005</v>
      </c>
      <c r="F38" s="54">
        <v>0</v>
      </c>
      <c r="G38" s="53">
        <v>31</v>
      </c>
      <c r="H38" s="53">
        <v>0</v>
      </c>
      <c r="I38" s="53">
        <v>336</v>
      </c>
      <c r="J38" s="53">
        <v>0</v>
      </c>
      <c r="K38" s="55">
        <v>35.299999999999997</v>
      </c>
      <c r="L38" s="53">
        <v>11840</v>
      </c>
      <c r="M38" s="53">
        <v>36</v>
      </c>
      <c r="N38" s="94">
        <v>715.1</v>
      </c>
      <c r="O38" s="56">
        <v>154.44450348160629</v>
      </c>
      <c r="P38" s="98">
        <v>7810487.6631030431</v>
      </c>
      <c r="Q38">
        <v>10570</v>
      </c>
      <c r="R38" s="98">
        <v>2985522.2948205322</v>
      </c>
      <c r="S38">
        <v>1132</v>
      </c>
      <c r="T38" s="245">
        <f>+[14]Sheet1!D38</f>
        <v>9904168.7005212288</v>
      </c>
      <c r="U38" s="245">
        <f>+[14]Sheet1!I38</f>
        <v>23485.588800747213</v>
      </c>
      <c r="V38">
        <v>138</v>
      </c>
      <c r="W38" s="98">
        <v>137161.23461501769</v>
      </c>
      <c r="X38" s="98">
        <v>289.93</v>
      </c>
      <c r="Y38">
        <v>2848</v>
      </c>
      <c r="Z38" s="98">
        <v>8827.5692950589273</v>
      </c>
      <c r="AA38" s="98">
        <v>23.8</v>
      </c>
      <c r="AB38" s="98">
        <v>151</v>
      </c>
      <c r="AC38" s="98">
        <v>32226.787247672684</v>
      </c>
      <c r="AD38" s="98">
        <v>96</v>
      </c>
    </row>
    <row r="39" spans="1:30" x14ac:dyDescent="0.2">
      <c r="A39" s="3" t="str">
        <f t="shared" si="0"/>
        <v>20161</v>
      </c>
      <c r="B39" s="49">
        <f t="shared" si="1"/>
        <v>2016</v>
      </c>
      <c r="C39" s="52">
        <v>42400</v>
      </c>
      <c r="D39" s="53">
        <v>23561827.41</v>
      </c>
      <c r="E39" s="54">
        <v>670.4</v>
      </c>
      <c r="F39" s="54">
        <v>0</v>
      </c>
      <c r="G39" s="53">
        <v>31</v>
      </c>
      <c r="H39" s="53">
        <v>0</v>
      </c>
      <c r="I39" s="53">
        <v>320</v>
      </c>
      <c r="J39" s="53">
        <v>0</v>
      </c>
      <c r="K39" s="55">
        <v>38.5</v>
      </c>
      <c r="L39" s="53">
        <v>11841</v>
      </c>
      <c r="M39" s="53">
        <v>37</v>
      </c>
      <c r="N39" s="94">
        <v>712</v>
      </c>
      <c r="O39" s="56">
        <v>154.72483615659849</v>
      </c>
      <c r="P39" s="98">
        <v>8141203.4349176632</v>
      </c>
      <c r="Q39">
        <v>10573</v>
      </c>
      <c r="R39" s="98">
        <v>3187031.414553293</v>
      </c>
      <c r="S39">
        <v>1131</v>
      </c>
      <c r="T39" s="245">
        <f>+[14]Sheet1!D39</f>
        <v>11034205.786847917</v>
      </c>
      <c r="U39" s="245">
        <f>+[14]Sheet1!I39</f>
        <v>24306.874787226767</v>
      </c>
      <c r="V39">
        <v>137</v>
      </c>
      <c r="W39" s="98">
        <v>111674.17231180232</v>
      </c>
      <c r="X39" s="98">
        <v>242.33000000000004</v>
      </c>
      <c r="Y39">
        <v>2885</v>
      </c>
      <c r="Z39" s="98">
        <v>8827.5319601798492</v>
      </c>
      <c r="AA39" s="98">
        <v>23.8</v>
      </c>
      <c r="AB39" s="98">
        <v>151</v>
      </c>
      <c r="AC39" s="98">
        <v>31035.925716861366</v>
      </c>
      <c r="AD39" s="98">
        <v>97</v>
      </c>
    </row>
    <row r="40" spans="1:30" x14ac:dyDescent="0.2">
      <c r="A40" s="3" t="str">
        <f t="shared" si="0"/>
        <v>20162</v>
      </c>
      <c r="B40" s="49">
        <f t="shared" si="1"/>
        <v>2016</v>
      </c>
      <c r="C40" s="52">
        <v>42429</v>
      </c>
      <c r="D40" s="53">
        <v>21655030.84</v>
      </c>
      <c r="E40" s="54">
        <v>588.4</v>
      </c>
      <c r="F40" s="54">
        <v>0</v>
      </c>
      <c r="G40" s="53">
        <v>29</v>
      </c>
      <c r="H40" s="53">
        <v>0</v>
      </c>
      <c r="I40" s="53">
        <v>320</v>
      </c>
      <c r="J40" s="53">
        <v>0</v>
      </c>
      <c r="K40" s="55">
        <v>40.9</v>
      </c>
      <c r="L40" s="53">
        <v>11848</v>
      </c>
      <c r="M40" s="53">
        <v>38</v>
      </c>
      <c r="N40" s="94">
        <v>707.4</v>
      </c>
      <c r="O40" s="56">
        <v>155.00567766425806</v>
      </c>
      <c r="P40" s="98">
        <v>7395471.4443364209</v>
      </c>
      <c r="Q40">
        <v>10579</v>
      </c>
      <c r="R40" s="98">
        <v>3046027.9216784169</v>
      </c>
      <c r="S40">
        <v>1131</v>
      </c>
      <c r="T40" s="245">
        <f>+[14]Sheet1!D40</f>
        <v>10239195.737061158</v>
      </c>
      <c r="U40" s="245">
        <f>+[14]Sheet1!I40</f>
        <v>24051.740897738302</v>
      </c>
      <c r="V40">
        <v>138</v>
      </c>
      <c r="W40" s="98">
        <v>88899.828260662151</v>
      </c>
      <c r="X40" s="98">
        <v>205.41000000000003</v>
      </c>
      <c r="Y40">
        <v>2885</v>
      </c>
      <c r="Z40" s="98">
        <v>8258.0485099625967</v>
      </c>
      <c r="AA40" s="98">
        <v>23.8</v>
      </c>
      <c r="AB40" s="98">
        <v>153</v>
      </c>
      <c r="AC40" s="98">
        <v>32532.955387722424</v>
      </c>
      <c r="AD40" s="98">
        <v>97</v>
      </c>
    </row>
    <row r="41" spans="1:30" x14ac:dyDescent="0.2">
      <c r="A41" s="3" t="str">
        <f t="shared" si="0"/>
        <v>20163</v>
      </c>
      <c r="B41" s="49">
        <f t="shared" si="1"/>
        <v>2016</v>
      </c>
      <c r="C41" s="52">
        <v>42460</v>
      </c>
      <c r="D41" s="53">
        <v>21636172.899999999</v>
      </c>
      <c r="E41" s="54">
        <v>476.0999999999998</v>
      </c>
      <c r="F41" s="54">
        <v>0</v>
      </c>
      <c r="G41" s="53">
        <v>31</v>
      </c>
      <c r="H41" s="53">
        <v>1</v>
      </c>
      <c r="I41" s="53">
        <v>352</v>
      </c>
      <c r="J41" s="53">
        <v>0</v>
      </c>
      <c r="K41" s="55">
        <v>44.3</v>
      </c>
      <c r="L41" s="53">
        <v>11856</v>
      </c>
      <c r="M41" s="53">
        <v>39</v>
      </c>
      <c r="N41" s="94">
        <v>706.9</v>
      </c>
      <c r="O41" s="56">
        <v>155.2870289281687</v>
      </c>
      <c r="P41" s="98">
        <v>7171384.9656484937</v>
      </c>
      <c r="Q41">
        <v>10586</v>
      </c>
      <c r="R41" s="98">
        <v>2992845.1769332821</v>
      </c>
      <c r="S41">
        <v>1131</v>
      </c>
      <c r="T41" s="245">
        <f>+[14]Sheet1!D41</f>
        <v>10871432.585271252</v>
      </c>
      <c r="U41" s="245">
        <f>+[14]Sheet1!I41</f>
        <v>24546.436207329338</v>
      </c>
      <c r="V41">
        <v>139</v>
      </c>
      <c r="W41" s="98">
        <v>76927.983970995134</v>
      </c>
      <c r="X41" s="98">
        <v>205.41000000000003</v>
      </c>
      <c r="Y41">
        <v>2852</v>
      </c>
      <c r="Z41" s="98">
        <v>8975.922273669803</v>
      </c>
      <c r="AA41" s="98">
        <v>23.8</v>
      </c>
      <c r="AB41" s="98">
        <v>153</v>
      </c>
      <c r="AC41" s="98">
        <v>32028.270203224864</v>
      </c>
      <c r="AD41" s="98">
        <v>97</v>
      </c>
    </row>
    <row r="42" spans="1:30" x14ac:dyDescent="0.2">
      <c r="A42" s="3" t="str">
        <f t="shared" si="0"/>
        <v>20164</v>
      </c>
      <c r="B42" s="49">
        <f t="shared" si="1"/>
        <v>2016</v>
      </c>
      <c r="C42" s="52">
        <v>42490</v>
      </c>
      <c r="D42" s="53">
        <v>20336536.75</v>
      </c>
      <c r="E42" s="54">
        <v>394.8</v>
      </c>
      <c r="F42" s="54">
        <v>0</v>
      </c>
      <c r="G42" s="53">
        <v>30</v>
      </c>
      <c r="H42" s="53">
        <v>1</v>
      </c>
      <c r="I42" s="53">
        <v>336</v>
      </c>
      <c r="J42" s="53">
        <v>0</v>
      </c>
      <c r="K42" s="55">
        <v>44.6</v>
      </c>
      <c r="L42" s="53">
        <v>11862</v>
      </c>
      <c r="M42" s="53">
        <v>40</v>
      </c>
      <c r="N42" s="94">
        <v>706.3</v>
      </c>
      <c r="O42" s="56">
        <v>155.56889087359048</v>
      </c>
      <c r="P42" s="98">
        <v>6335316.8955787234</v>
      </c>
      <c r="Q42">
        <v>10593</v>
      </c>
      <c r="R42" s="98">
        <v>2715129.2118235966</v>
      </c>
      <c r="S42">
        <v>1130</v>
      </c>
      <c r="T42" s="245">
        <f>+[14]Sheet1!D42</f>
        <v>10433724.295810705</v>
      </c>
      <c r="U42" s="245">
        <f>+[14]Sheet1!I42</f>
        <v>24587.771072138617</v>
      </c>
      <c r="V42">
        <v>139</v>
      </c>
      <c r="W42" s="98">
        <v>64141.150653563585</v>
      </c>
      <c r="X42" s="98">
        <v>205.41000000000003</v>
      </c>
      <c r="Y42">
        <v>2852</v>
      </c>
      <c r="Z42" s="98">
        <v>8691.1465880319174</v>
      </c>
      <c r="AA42" s="98">
        <v>24.2</v>
      </c>
      <c r="AB42" s="98">
        <v>153</v>
      </c>
      <c r="AC42" s="98">
        <v>29740.550247386436</v>
      </c>
      <c r="AD42" s="98">
        <v>97</v>
      </c>
    </row>
    <row r="43" spans="1:30" x14ac:dyDescent="0.2">
      <c r="A43" s="3" t="str">
        <f t="shared" si="0"/>
        <v>20165</v>
      </c>
      <c r="B43" s="49">
        <f t="shared" si="1"/>
        <v>2016</v>
      </c>
      <c r="C43" s="52">
        <v>42521</v>
      </c>
      <c r="D43" s="53">
        <v>20078198.850000001</v>
      </c>
      <c r="E43" s="54">
        <v>142.50000000000003</v>
      </c>
      <c r="F43" s="54">
        <v>36.9</v>
      </c>
      <c r="G43" s="53">
        <v>31</v>
      </c>
      <c r="H43" s="53">
        <v>1</v>
      </c>
      <c r="I43" s="53">
        <v>336</v>
      </c>
      <c r="J43" s="53">
        <v>0</v>
      </c>
      <c r="K43" s="55">
        <v>44.6</v>
      </c>
      <c r="L43" s="53">
        <v>11874</v>
      </c>
      <c r="M43" s="53">
        <v>41</v>
      </c>
      <c r="N43" s="94">
        <v>712</v>
      </c>
      <c r="O43" s="56">
        <v>155.85126442746289</v>
      </c>
      <c r="P43" s="98">
        <v>6226873.2588910181</v>
      </c>
      <c r="Q43">
        <v>10602</v>
      </c>
      <c r="R43" s="98">
        <v>2669135.1305700601</v>
      </c>
      <c r="S43">
        <v>1132</v>
      </c>
      <c r="T43" s="245">
        <f>+[14]Sheet1!D43</f>
        <v>10247270.044491366</v>
      </c>
      <c r="U43" s="245">
        <f>+[14]Sheet1!I43</f>
        <v>26543.891900968822</v>
      </c>
      <c r="V43">
        <v>140</v>
      </c>
      <c r="W43" s="98">
        <v>57821.181185001435</v>
      </c>
      <c r="X43" s="98">
        <v>205.41000000000003</v>
      </c>
      <c r="Y43">
        <v>2852</v>
      </c>
      <c r="Z43" s="98">
        <v>8980.8589011408385</v>
      </c>
      <c r="AA43" s="98">
        <v>24.3</v>
      </c>
      <c r="AB43" s="98">
        <v>153</v>
      </c>
      <c r="AC43" s="98">
        <v>35459.895116332926</v>
      </c>
      <c r="AD43" s="98">
        <v>97</v>
      </c>
    </row>
    <row r="44" spans="1:30" x14ac:dyDescent="0.2">
      <c r="A44" s="3" t="str">
        <f t="shared" si="0"/>
        <v>20166</v>
      </c>
      <c r="B44" s="49">
        <f t="shared" si="1"/>
        <v>2016</v>
      </c>
      <c r="C44" s="52">
        <v>42551</v>
      </c>
      <c r="D44" s="53">
        <v>20739146.41</v>
      </c>
      <c r="E44" s="54">
        <v>24.200000000000003</v>
      </c>
      <c r="F44" s="54">
        <v>83.7</v>
      </c>
      <c r="G44" s="53">
        <v>30</v>
      </c>
      <c r="H44" s="53">
        <v>0</v>
      </c>
      <c r="I44" s="53">
        <v>352</v>
      </c>
      <c r="J44" s="53">
        <v>0</v>
      </c>
      <c r="K44" s="55">
        <v>41.4</v>
      </c>
      <c r="L44" s="53">
        <v>11879</v>
      </c>
      <c r="M44" s="53">
        <v>42</v>
      </c>
      <c r="N44" s="94">
        <v>714.6</v>
      </c>
      <c r="O44" s="56">
        <v>156.13415051840798</v>
      </c>
      <c r="P44" s="98">
        <v>6950661.4104644088</v>
      </c>
      <c r="Q44">
        <v>10602</v>
      </c>
      <c r="R44" s="98">
        <v>2694042.0637317537</v>
      </c>
      <c r="S44">
        <v>1135</v>
      </c>
      <c r="T44" s="245">
        <f>+[14]Sheet1!D44</f>
        <v>10767708.245049423</v>
      </c>
      <c r="U44" s="245">
        <f>+[14]Sheet1!I44</f>
        <v>26947.446400603196</v>
      </c>
      <c r="V44">
        <v>142</v>
      </c>
      <c r="W44" s="98">
        <v>48295.258086060487</v>
      </c>
      <c r="X44" s="98">
        <v>200.14000000000001</v>
      </c>
      <c r="Y44">
        <v>2839</v>
      </c>
      <c r="Z44" s="98">
        <v>8691.1279266121655</v>
      </c>
      <c r="AA44" s="98">
        <v>48.400000000000006</v>
      </c>
      <c r="AB44" s="98">
        <v>153</v>
      </c>
      <c r="AC44" s="98">
        <v>31269.239395977835</v>
      </c>
      <c r="AD44" s="98">
        <v>97</v>
      </c>
    </row>
    <row r="45" spans="1:30" x14ac:dyDescent="0.2">
      <c r="A45" s="3" t="str">
        <f t="shared" si="0"/>
        <v>20167</v>
      </c>
      <c r="B45" s="49">
        <f t="shared" si="1"/>
        <v>2016</v>
      </c>
      <c r="C45" s="52">
        <v>42582</v>
      </c>
      <c r="D45" s="53">
        <v>23027670.599999998</v>
      </c>
      <c r="E45" s="54">
        <v>0</v>
      </c>
      <c r="F45" s="54">
        <v>176.89999999999998</v>
      </c>
      <c r="G45" s="53">
        <v>31</v>
      </c>
      <c r="H45" s="53">
        <v>0</v>
      </c>
      <c r="I45" s="53">
        <v>320</v>
      </c>
      <c r="J45" s="53">
        <v>0</v>
      </c>
      <c r="K45" s="55">
        <v>42.1</v>
      </c>
      <c r="L45" s="53">
        <v>11897</v>
      </c>
      <c r="M45" s="53">
        <v>43</v>
      </c>
      <c r="N45" s="94">
        <v>712.6</v>
      </c>
      <c r="O45" s="56">
        <v>156.41755007673331</v>
      </c>
      <c r="P45" s="98">
        <v>8223030.7902599545</v>
      </c>
      <c r="Q45">
        <v>10618</v>
      </c>
      <c r="R45" s="98">
        <v>2944866.780813423</v>
      </c>
      <c r="S45">
        <v>1136</v>
      </c>
      <c r="T45" s="245">
        <f>+[14]Sheet1!D45</f>
        <v>10753115.743921001</v>
      </c>
      <c r="U45" s="245">
        <f>+[14]Sheet1!I45</f>
        <v>26454.022107864192</v>
      </c>
      <c r="V45">
        <v>143</v>
      </c>
      <c r="W45" s="98">
        <v>51041.131571414946</v>
      </c>
      <c r="X45" s="98">
        <v>199.85</v>
      </c>
      <c r="Y45">
        <v>2839</v>
      </c>
      <c r="Z45" s="98">
        <v>8980.8052524972991</v>
      </c>
      <c r="AA45" s="98">
        <v>0.3</v>
      </c>
      <c r="AB45" s="98">
        <v>153</v>
      </c>
      <c r="AC45" s="98">
        <v>31138.749033002059</v>
      </c>
      <c r="AD45" s="98">
        <v>97</v>
      </c>
    </row>
    <row r="46" spans="1:30" x14ac:dyDescent="0.2">
      <c r="A46" s="3" t="str">
        <f t="shared" si="0"/>
        <v>20168</v>
      </c>
      <c r="B46" s="49">
        <f t="shared" si="1"/>
        <v>2016</v>
      </c>
      <c r="C46" s="52">
        <v>42613</v>
      </c>
      <c r="D46" s="53">
        <v>24179844.139999997</v>
      </c>
      <c r="E46" s="54">
        <v>0</v>
      </c>
      <c r="F46" s="54">
        <v>195.4</v>
      </c>
      <c r="G46" s="53">
        <v>31</v>
      </c>
      <c r="H46" s="53">
        <v>0</v>
      </c>
      <c r="I46" s="53">
        <v>368</v>
      </c>
      <c r="J46" s="53">
        <v>0</v>
      </c>
      <c r="K46" s="55">
        <v>43.3</v>
      </c>
      <c r="L46" s="53">
        <v>11928</v>
      </c>
      <c r="M46" s="53">
        <v>44</v>
      </c>
      <c r="N46" s="94">
        <v>708.4</v>
      </c>
      <c r="O46" s="56">
        <v>156.70146403443502</v>
      </c>
      <c r="P46" s="98">
        <v>8278163.5992429638</v>
      </c>
      <c r="Q46">
        <v>10653</v>
      </c>
      <c r="R46" s="98">
        <v>2969334.4165806412</v>
      </c>
      <c r="S46">
        <v>1134</v>
      </c>
      <c r="T46" s="245">
        <f>+[14]Sheet1!D46</f>
        <v>11410260.192501094</v>
      </c>
      <c r="U46" s="245">
        <f>+[14]Sheet1!I46</f>
        <v>27178.094094595592</v>
      </c>
      <c r="V46">
        <v>141</v>
      </c>
      <c r="W46" s="98">
        <v>61550.615399293958</v>
      </c>
      <c r="X46" s="98">
        <v>200.20000000000002</v>
      </c>
      <c r="Y46">
        <v>2844</v>
      </c>
      <c r="Z46" s="98">
        <v>8954.6098852110081</v>
      </c>
      <c r="AA46" s="98">
        <v>24.3</v>
      </c>
      <c r="AB46" s="98">
        <v>152</v>
      </c>
      <c r="AC46" s="98">
        <v>31617.861953344596</v>
      </c>
      <c r="AD46" s="98">
        <v>97</v>
      </c>
    </row>
    <row r="47" spans="1:30" x14ac:dyDescent="0.2">
      <c r="A47" s="3" t="str">
        <f t="shared" si="0"/>
        <v>20169</v>
      </c>
      <c r="B47" s="49">
        <f t="shared" si="1"/>
        <v>2016</v>
      </c>
      <c r="C47" s="52">
        <v>42643</v>
      </c>
      <c r="D47" s="53">
        <v>20570015.609999999</v>
      </c>
      <c r="E47" s="54">
        <v>25.900000000000006</v>
      </c>
      <c r="F47" s="54">
        <v>69.400000000000006</v>
      </c>
      <c r="G47" s="53">
        <v>30</v>
      </c>
      <c r="H47" s="53">
        <v>1</v>
      </c>
      <c r="I47" s="53">
        <v>336</v>
      </c>
      <c r="J47" s="53">
        <v>0</v>
      </c>
      <c r="K47" s="55">
        <v>41.8</v>
      </c>
      <c r="L47" s="53">
        <v>11935</v>
      </c>
      <c r="M47" s="53">
        <v>45</v>
      </c>
      <c r="N47" s="94">
        <v>703.7</v>
      </c>
      <c r="O47" s="56">
        <v>156.98589332520095</v>
      </c>
      <c r="P47" s="98">
        <v>6710831.0238135904</v>
      </c>
      <c r="Q47">
        <v>10659</v>
      </c>
      <c r="R47" s="98">
        <v>2668938.6773412609</v>
      </c>
      <c r="S47">
        <v>1134</v>
      </c>
      <c r="T47" s="245">
        <f>+[14]Sheet1!D47</f>
        <v>10663355.755610054</v>
      </c>
      <c r="U47" s="245">
        <f>+[14]Sheet1!I47</f>
        <v>27464.516025990102</v>
      </c>
      <c r="V47">
        <v>142</v>
      </c>
      <c r="W47" s="98">
        <v>68066.930636389647</v>
      </c>
      <c r="X47" s="98">
        <v>200.20000000000002</v>
      </c>
      <c r="Y47">
        <v>2844</v>
      </c>
      <c r="Z47" s="98">
        <v>8656.9508770973334</v>
      </c>
      <c r="AA47" s="98">
        <v>23.9</v>
      </c>
      <c r="AB47" s="98">
        <v>152</v>
      </c>
      <c r="AC47" s="98">
        <v>29511.763258685871</v>
      </c>
      <c r="AD47" s="98">
        <v>97</v>
      </c>
    </row>
    <row r="48" spans="1:30" x14ac:dyDescent="0.2">
      <c r="A48" s="3" t="str">
        <f t="shared" si="0"/>
        <v>201610</v>
      </c>
      <c r="B48" s="49">
        <f t="shared" si="1"/>
        <v>2016</v>
      </c>
      <c r="C48" s="52">
        <v>42674</v>
      </c>
      <c r="D48" s="53">
        <v>20577574.779999997</v>
      </c>
      <c r="E48" s="54">
        <v>194.20000000000002</v>
      </c>
      <c r="F48" s="54">
        <v>4.0999999999999996</v>
      </c>
      <c r="G48" s="53">
        <v>31</v>
      </c>
      <c r="H48" s="53">
        <v>1</v>
      </c>
      <c r="I48" s="53">
        <v>320</v>
      </c>
      <c r="J48" s="53">
        <v>0</v>
      </c>
      <c r="K48" s="55">
        <v>39.4</v>
      </c>
      <c r="L48" s="53">
        <v>11965</v>
      </c>
      <c r="M48" s="53">
        <v>46</v>
      </c>
      <c r="N48" s="94">
        <v>703.9</v>
      </c>
      <c r="O48" s="56">
        <v>157.27083888441365</v>
      </c>
      <c r="P48" s="98">
        <v>6139294.2389809731</v>
      </c>
      <c r="Q48">
        <v>10693</v>
      </c>
      <c r="R48" s="98">
        <v>2596817.4357801038</v>
      </c>
      <c r="S48">
        <v>1130</v>
      </c>
      <c r="T48" s="245">
        <f>+[14]Sheet1!D48</f>
        <v>11125820.465922428</v>
      </c>
      <c r="U48" s="245">
        <f>+[14]Sheet1!I48</f>
        <v>26730.518578737145</v>
      </c>
      <c r="V48">
        <v>142</v>
      </c>
      <c r="W48" s="98">
        <v>79803.606526094838</v>
      </c>
      <c r="X48" s="98">
        <v>199.17</v>
      </c>
      <c r="Y48">
        <v>2845</v>
      </c>
      <c r="Z48" s="98">
        <v>8945.5262583995554</v>
      </c>
      <c r="AA48" s="98">
        <v>23.9</v>
      </c>
      <c r="AB48" s="98">
        <v>152</v>
      </c>
      <c r="AC48" s="98">
        <v>35459.870582141848</v>
      </c>
      <c r="AD48" s="98">
        <v>97</v>
      </c>
    </row>
    <row r="49" spans="1:30" x14ac:dyDescent="0.2">
      <c r="A49" s="3" t="str">
        <f t="shared" si="0"/>
        <v>201611</v>
      </c>
      <c r="B49" s="49">
        <f t="shared" si="1"/>
        <v>2016</v>
      </c>
      <c r="C49" s="52">
        <v>42704</v>
      </c>
      <c r="D49" s="53">
        <v>20734381.805</v>
      </c>
      <c r="E49" s="54">
        <v>337.80000000000007</v>
      </c>
      <c r="F49" s="54">
        <v>0</v>
      </c>
      <c r="G49" s="53">
        <v>30</v>
      </c>
      <c r="H49" s="53">
        <v>1</v>
      </c>
      <c r="I49" s="53">
        <v>352</v>
      </c>
      <c r="J49" s="53">
        <v>0</v>
      </c>
      <c r="K49" s="55">
        <v>34.6</v>
      </c>
      <c r="L49" s="53">
        <v>11996</v>
      </c>
      <c r="M49" s="53">
        <v>47</v>
      </c>
      <c r="N49" s="94">
        <v>700.5</v>
      </c>
      <c r="O49" s="56">
        <v>157.55630164915351</v>
      </c>
      <c r="P49" s="98">
        <v>6589802.0617851736</v>
      </c>
      <c r="Q49">
        <v>10721</v>
      </c>
      <c r="R49" s="98">
        <v>2769122.8866488524</v>
      </c>
      <c r="S49">
        <v>1137</v>
      </c>
      <c r="T49" s="245">
        <f>+[14]Sheet1!D49</f>
        <v>10736582.948662248</v>
      </c>
      <c r="U49" s="245">
        <f>+[14]Sheet1!I49</f>
        <v>25341.683979288762</v>
      </c>
      <c r="V49">
        <v>138</v>
      </c>
      <c r="W49" s="98">
        <v>88195.258086060509</v>
      </c>
      <c r="X49" s="98">
        <v>199.17</v>
      </c>
      <c r="Y49">
        <v>2845</v>
      </c>
      <c r="Z49" s="98">
        <v>8656.9190205102805</v>
      </c>
      <c r="AA49" s="98">
        <v>24.5</v>
      </c>
      <c r="AB49" s="98">
        <v>152</v>
      </c>
      <c r="AC49" s="98">
        <v>34881.380113877</v>
      </c>
      <c r="AD49" s="98">
        <v>97</v>
      </c>
    </row>
    <row r="50" spans="1:30" x14ac:dyDescent="0.2">
      <c r="A50" s="3" t="str">
        <f t="shared" si="0"/>
        <v>201612</v>
      </c>
      <c r="B50" s="49">
        <f t="shared" si="1"/>
        <v>2016</v>
      </c>
      <c r="C50" s="52">
        <v>42735</v>
      </c>
      <c r="D50" s="53">
        <v>22113618.544999998</v>
      </c>
      <c r="E50" s="54">
        <v>607.99999999999989</v>
      </c>
      <c r="F50" s="54">
        <v>0</v>
      </c>
      <c r="G50" s="53">
        <v>31</v>
      </c>
      <c r="H50" s="53">
        <v>0</v>
      </c>
      <c r="I50" s="53">
        <v>320</v>
      </c>
      <c r="J50" s="53">
        <v>0</v>
      </c>
      <c r="K50" s="55">
        <v>35.700000000000003</v>
      </c>
      <c r="L50" s="53">
        <v>12004</v>
      </c>
      <c r="M50" s="53">
        <v>48</v>
      </c>
      <c r="N50" s="94">
        <v>699</v>
      </c>
      <c r="O50" s="56">
        <v>157.84228255820162</v>
      </c>
      <c r="P50" s="98">
        <v>8052157.258699771</v>
      </c>
      <c r="Q50">
        <v>10730</v>
      </c>
      <c r="R50" s="98">
        <v>3202346.9103731513</v>
      </c>
      <c r="S50">
        <v>1136</v>
      </c>
      <c r="T50" s="245">
        <f>+[14]Sheet1!D50</f>
        <v>9386284.0749280602</v>
      </c>
      <c r="U50" s="245">
        <f>+[14]Sheet1!I50</f>
        <v>24715.250006174767</v>
      </c>
      <c r="V50">
        <v>138</v>
      </c>
      <c r="W50" s="98">
        <v>94241.980727029862</v>
      </c>
      <c r="X50" s="98">
        <v>199.17</v>
      </c>
      <c r="Y50">
        <v>2845</v>
      </c>
      <c r="Z50" s="98">
        <v>8945.4812411877592</v>
      </c>
      <c r="AA50" s="98">
        <v>24.1</v>
      </c>
      <c r="AB50" s="98">
        <v>152</v>
      </c>
      <c r="AC50" s="98">
        <v>46706.655378919444</v>
      </c>
      <c r="AD50" s="98">
        <v>97</v>
      </c>
    </row>
    <row r="51" spans="1:30" x14ac:dyDescent="0.2">
      <c r="A51" s="3" t="str">
        <f t="shared" si="0"/>
        <v>20171</v>
      </c>
      <c r="B51" s="49">
        <f t="shared" si="1"/>
        <v>2017</v>
      </c>
      <c r="C51" s="52">
        <v>42766</v>
      </c>
      <c r="D51" s="53">
        <v>23287844.449999999</v>
      </c>
      <c r="E51" s="54">
        <v>608.9</v>
      </c>
      <c r="F51" s="54">
        <v>0</v>
      </c>
      <c r="G51" s="53">
        <v>31</v>
      </c>
      <c r="H51" s="53">
        <v>0</v>
      </c>
      <c r="I51" s="53">
        <v>336</v>
      </c>
      <c r="J51" s="53">
        <v>0</v>
      </c>
      <c r="K51" s="55">
        <v>38.4</v>
      </c>
      <c r="L51" s="53">
        <v>12024</v>
      </c>
      <c r="M51" s="53">
        <v>49</v>
      </c>
      <c r="N51" s="94">
        <v>696.5</v>
      </c>
      <c r="O51" s="56">
        <v>158.15454692394951</v>
      </c>
      <c r="P51" s="98">
        <v>8077634.2486145692</v>
      </c>
      <c r="Q51">
        <v>10749</v>
      </c>
      <c r="R51" s="98">
        <v>3266270.5594501514</v>
      </c>
      <c r="S51">
        <v>1136</v>
      </c>
      <c r="T51" s="245">
        <f>+[14]Sheet1!D51</f>
        <v>11091881.779990077</v>
      </c>
      <c r="U51" s="245">
        <f>+[14]Sheet1!I51</f>
        <v>24194.228973266876</v>
      </c>
      <c r="V51">
        <v>139</v>
      </c>
      <c r="W51" s="98">
        <v>91827.764526285668</v>
      </c>
      <c r="X51" s="98">
        <v>199.17</v>
      </c>
      <c r="Y51">
        <v>2845</v>
      </c>
      <c r="Z51" s="98">
        <v>8945.4918423814561</v>
      </c>
      <c r="AA51" s="98">
        <v>48.2</v>
      </c>
      <c r="AB51" s="98">
        <v>152</v>
      </c>
      <c r="AC51" s="98">
        <v>31996.171303174448</v>
      </c>
      <c r="AD51" s="98">
        <v>97</v>
      </c>
    </row>
    <row r="52" spans="1:30" x14ac:dyDescent="0.2">
      <c r="A52" s="3" t="str">
        <f t="shared" si="0"/>
        <v>20172</v>
      </c>
      <c r="B52" s="49">
        <f t="shared" si="1"/>
        <v>2017</v>
      </c>
      <c r="C52" s="52">
        <v>42794</v>
      </c>
      <c r="D52" s="53">
        <v>20360287.07</v>
      </c>
      <c r="E52" s="54">
        <v>510.4</v>
      </c>
      <c r="F52" s="54">
        <v>0</v>
      </c>
      <c r="G52" s="53">
        <v>28</v>
      </c>
      <c r="H52" s="53">
        <v>0</v>
      </c>
      <c r="I52" s="53">
        <v>304</v>
      </c>
      <c r="J52" s="53">
        <v>0</v>
      </c>
      <c r="K52" s="55">
        <v>42.1</v>
      </c>
      <c r="L52" s="53">
        <v>12039</v>
      </c>
      <c r="M52" s="53">
        <v>50</v>
      </c>
      <c r="N52" s="94">
        <v>697.6</v>
      </c>
      <c r="O52" s="56">
        <v>158.46742905214063</v>
      </c>
      <c r="P52" s="98">
        <v>6841127.5841638129</v>
      </c>
      <c r="Q52">
        <v>10767</v>
      </c>
      <c r="R52" s="98">
        <v>2915321.8661983605</v>
      </c>
      <c r="S52">
        <v>1136</v>
      </c>
      <c r="T52" s="245">
        <f>+[14]Sheet1!D52</f>
        <v>9914415.2719552517</v>
      </c>
      <c r="U52" s="245">
        <f>+[14]Sheet1!I52</f>
        <v>23808.820165809084</v>
      </c>
      <c r="V52">
        <v>136</v>
      </c>
      <c r="W52" s="98">
        <v>83400.992271729803</v>
      </c>
      <c r="X52" s="98">
        <v>199.17</v>
      </c>
      <c r="Y52">
        <v>2845</v>
      </c>
      <c r="Z52" s="98">
        <v>8079.830168877018</v>
      </c>
      <c r="AA52" s="98">
        <v>24.1</v>
      </c>
      <c r="AB52" s="98">
        <v>152</v>
      </c>
      <c r="AC52" s="98">
        <v>32830.742704485652</v>
      </c>
      <c r="AD52" s="98">
        <v>97</v>
      </c>
    </row>
    <row r="53" spans="1:30" x14ac:dyDescent="0.2">
      <c r="A53" s="3" t="str">
        <f t="shared" si="0"/>
        <v>20173</v>
      </c>
      <c r="B53" s="49">
        <f t="shared" si="1"/>
        <v>2017</v>
      </c>
      <c r="C53" s="52">
        <v>42825</v>
      </c>
      <c r="D53" s="53">
        <v>22567613.300000001</v>
      </c>
      <c r="E53" s="54">
        <v>574</v>
      </c>
      <c r="F53" s="54">
        <v>0</v>
      </c>
      <c r="G53" s="53">
        <v>31</v>
      </c>
      <c r="H53" s="53">
        <v>1</v>
      </c>
      <c r="I53" s="53">
        <v>368</v>
      </c>
      <c r="J53" s="53">
        <v>0</v>
      </c>
      <c r="K53" s="55">
        <v>45.1</v>
      </c>
      <c r="L53" s="53">
        <v>12077</v>
      </c>
      <c r="M53" s="53">
        <v>51</v>
      </c>
      <c r="N53" s="94">
        <v>699.4</v>
      </c>
      <c r="O53" s="56">
        <v>158.78093016491388</v>
      </c>
      <c r="P53" s="98">
        <v>7193461.3461572099</v>
      </c>
      <c r="Q53">
        <v>10804</v>
      </c>
      <c r="R53" s="98">
        <v>3133117.3367742631</v>
      </c>
      <c r="S53">
        <v>1137</v>
      </c>
      <c r="T53" s="245">
        <f>+[14]Sheet1!D53</f>
        <v>11134463.912526095</v>
      </c>
      <c r="U53" s="245">
        <f>+[14]Sheet1!I53</f>
        <v>24181.729712672721</v>
      </c>
      <c r="V53">
        <v>136</v>
      </c>
      <c r="W53" s="98">
        <v>74279.248163343189</v>
      </c>
      <c r="X53" s="98">
        <v>198.23999999999998</v>
      </c>
      <c r="Y53">
        <v>2845</v>
      </c>
      <c r="Z53" s="98">
        <v>8854.3459593550288</v>
      </c>
      <c r="AA53" s="98">
        <v>24.1</v>
      </c>
      <c r="AB53" s="98">
        <v>152</v>
      </c>
      <c r="AC53" s="98">
        <v>32028.270203224878</v>
      </c>
      <c r="AD53" s="98">
        <v>97</v>
      </c>
    </row>
    <row r="54" spans="1:30" x14ac:dyDescent="0.2">
      <c r="A54" s="3" t="str">
        <f t="shared" si="0"/>
        <v>20174</v>
      </c>
      <c r="B54" s="49">
        <f t="shared" si="1"/>
        <v>2017</v>
      </c>
      <c r="C54" s="52">
        <v>42855</v>
      </c>
      <c r="D54" s="53">
        <v>19386237.350000001</v>
      </c>
      <c r="E54" s="54">
        <v>257.49999999999994</v>
      </c>
      <c r="F54" s="54">
        <v>0</v>
      </c>
      <c r="G54" s="53">
        <v>30</v>
      </c>
      <c r="H54" s="53">
        <v>1</v>
      </c>
      <c r="I54" s="53">
        <v>304</v>
      </c>
      <c r="J54" s="53">
        <v>0</v>
      </c>
      <c r="K54" s="55">
        <v>43.1</v>
      </c>
      <c r="L54" s="53">
        <v>12094</v>
      </c>
      <c r="M54" s="53">
        <v>52</v>
      </c>
      <c r="N54" s="94">
        <v>707.9</v>
      </c>
      <c r="O54" s="56">
        <v>159.09505148682601</v>
      </c>
      <c r="P54" s="98">
        <v>6124727.5212537749</v>
      </c>
      <c r="Q54">
        <v>10821</v>
      </c>
      <c r="R54" s="98">
        <v>2692200.1777287847</v>
      </c>
      <c r="S54">
        <v>1138</v>
      </c>
      <c r="T54" s="245">
        <f>+[14]Sheet1!D54</f>
        <v>10153718.312169641</v>
      </c>
      <c r="U54" s="245">
        <f>+[14]Sheet1!I54</f>
        <v>24542.563348929281</v>
      </c>
      <c r="V54">
        <v>135</v>
      </c>
      <c r="W54" s="98">
        <v>61935.053907069938</v>
      </c>
      <c r="X54" s="98">
        <v>198.23999999999998</v>
      </c>
      <c r="Y54">
        <v>2845</v>
      </c>
      <c r="Z54" s="98">
        <v>8568.7720637343755</v>
      </c>
      <c r="AA54" s="98">
        <v>23.9</v>
      </c>
      <c r="AB54" s="98">
        <v>152</v>
      </c>
      <c r="AC54" s="98">
        <v>32028.270203224871</v>
      </c>
      <c r="AD54" s="98">
        <v>97</v>
      </c>
    </row>
    <row r="55" spans="1:30" x14ac:dyDescent="0.2">
      <c r="A55" s="3" t="str">
        <f t="shared" si="0"/>
        <v>20175</v>
      </c>
      <c r="B55" s="49">
        <f t="shared" si="1"/>
        <v>2017</v>
      </c>
      <c r="C55" s="52">
        <v>42886</v>
      </c>
      <c r="D55" s="53">
        <v>19855233.969999999</v>
      </c>
      <c r="E55" s="54">
        <v>177</v>
      </c>
      <c r="F55" s="54">
        <v>9</v>
      </c>
      <c r="G55" s="53">
        <v>31</v>
      </c>
      <c r="H55" s="53">
        <v>1</v>
      </c>
      <c r="I55" s="53">
        <v>352</v>
      </c>
      <c r="J55" s="53">
        <v>0</v>
      </c>
      <c r="K55" s="55">
        <v>44.2</v>
      </c>
      <c r="L55" s="53">
        <v>12140</v>
      </c>
      <c r="M55" s="53">
        <v>53</v>
      </c>
      <c r="N55" s="94">
        <v>720.9</v>
      </c>
      <c r="O55" s="56">
        <v>159.4097942448563</v>
      </c>
      <c r="P55" s="98">
        <v>6046247.087900118</v>
      </c>
      <c r="Q55">
        <v>10861</v>
      </c>
      <c r="R55" s="98">
        <v>2652297.0243330477</v>
      </c>
      <c r="S55">
        <v>1142</v>
      </c>
      <c r="T55" s="245">
        <f>+[14]Sheet1!D55</f>
        <v>10597617.149611488</v>
      </c>
      <c r="U55" s="245">
        <f>+[14]Sheet1!I55</f>
        <v>25729.354776412612</v>
      </c>
      <c r="V55">
        <v>137</v>
      </c>
      <c r="W55" s="98">
        <v>56670.260471329064</v>
      </c>
      <c r="X55" s="98">
        <v>201.22</v>
      </c>
      <c r="Y55">
        <v>2893</v>
      </c>
      <c r="Z55" s="98">
        <v>8854.3459593550288</v>
      </c>
      <c r="AA55" s="98">
        <v>23.9</v>
      </c>
      <c r="AB55" s="98">
        <v>151</v>
      </c>
      <c r="AC55" s="98">
        <v>32028.270203224878</v>
      </c>
      <c r="AD55" s="98">
        <v>97</v>
      </c>
    </row>
    <row r="56" spans="1:30" x14ac:dyDescent="0.2">
      <c r="A56" s="3" t="str">
        <f t="shared" si="0"/>
        <v>20176</v>
      </c>
      <c r="B56" s="49">
        <f t="shared" si="1"/>
        <v>2017</v>
      </c>
      <c r="C56" s="52">
        <v>42916</v>
      </c>
      <c r="D56" s="53">
        <v>20499489.770000003</v>
      </c>
      <c r="E56" s="54">
        <v>26.699999999999996</v>
      </c>
      <c r="F56" s="54">
        <v>68.2</v>
      </c>
      <c r="G56" s="53">
        <v>30</v>
      </c>
      <c r="H56" s="53">
        <v>0</v>
      </c>
      <c r="I56" s="53">
        <v>352</v>
      </c>
      <c r="J56" s="53">
        <v>0</v>
      </c>
      <c r="K56" s="55">
        <v>41.3</v>
      </c>
      <c r="L56" s="53">
        <v>12176</v>
      </c>
      <c r="M56" s="53">
        <v>54</v>
      </c>
      <c r="N56" s="94">
        <v>741.1</v>
      </c>
      <c r="O56" s="56">
        <v>159.72515966841141</v>
      </c>
      <c r="P56" s="98">
        <v>6538694.2891350258</v>
      </c>
      <c r="Q56">
        <v>10899</v>
      </c>
      <c r="R56" s="98">
        <v>2660649.7918248489</v>
      </c>
      <c r="S56">
        <v>1141</v>
      </c>
      <c r="T56" s="245">
        <f>+[14]Sheet1!D56</f>
        <v>10279362.870850395</v>
      </c>
      <c r="U56" s="245">
        <f>+[14]Sheet1!I56</f>
        <v>25501.708693176653</v>
      </c>
      <c r="V56">
        <v>136</v>
      </c>
      <c r="W56" s="98">
        <v>48563.743917565116</v>
      </c>
      <c r="X56" s="98">
        <v>201.22</v>
      </c>
      <c r="Y56">
        <v>2893</v>
      </c>
      <c r="Z56" s="98">
        <v>8568.7720637343755</v>
      </c>
      <c r="AA56" s="98">
        <v>23.9</v>
      </c>
      <c r="AB56" s="98">
        <v>151</v>
      </c>
      <c r="AC56" s="98">
        <v>32028.270203224878</v>
      </c>
      <c r="AD56" s="98">
        <v>97</v>
      </c>
    </row>
    <row r="57" spans="1:30" x14ac:dyDescent="0.2">
      <c r="A57" s="3" t="str">
        <f t="shared" si="0"/>
        <v>20177</v>
      </c>
      <c r="B57" s="49">
        <f t="shared" si="1"/>
        <v>2017</v>
      </c>
      <c r="C57" s="52">
        <v>42947</v>
      </c>
      <c r="D57" s="53">
        <v>21882661.009999998</v>
      </c>
      <c r="E57" s="54">
        <v>0</v>
      </c>
      <c r="F57" s="54">
        <v>116.49999999999999</v>
      </c>
      <c r="G57" s="53">
        <v>31</v>
      </c>
      <c r="H57" s="53">
        <v>0</v>
      </c>
      <c r="I57" s="53">
        <v>320</v>
      </c>
      <c r="J57" s="53">
        <v>0</v>
      </c>
      <c r="K57" s="55">
        <v>44</v>
      </c>
      <c r="L57" s="53">
        <v>12215</v>
      </c>
      <c r="M57" s="53">
        <v>55</v>
      </c>
      <c r="N57" s="94">
        <v>753.8</v>
      </c>
      <c r="O57" s="56">
        <v>160.0411489893302</v>
      </c>
      <c r="P57" s="98">
        <v>7373042.5852860827</v>
      </c>
      <c r="Q57">
        <v>10935</v>
      </c>
      <c r="R57" s="98">
        <v>2831211.4141721646</v>
      </c>
      <c r="S57">
        <v>1148</v>
      </c>
      <c r="T57" s="245">
        <f>+[14]Sheet1!D57</f>
        <v>10530485.362861654</v>
      </c>
      <c r="U57" s="245">
        <f>+[14]Sheet1!I57</f>
        <v>25028.692484738549</v>
      </c>
      <c r="V57">
        <v>132</v>
      </c>
      <c r="W57" s="98">
        <v>51389.113634195208</v>
      </c>
      <c r="X57" s="98">
        <v>201.22</v>
      </c>
      <c r="Y57">
        <v>2893</v>
      </c>
      <c r="Z57" s="98">
        <v>8854.3459593550288</v>
      </c>
      <c r="AA57" s="98">
        <v>23.9</v>
      </c>
      <c r="AB57" s="98">
        <v>151</v>
      </c>
      <c r="AC57" s="98">
        <v>31278.265432687698</v>
      </c>
      <c r="AD57" s="98">
        <v>97</v>
      </c>
    </row>
    <row r="58" spans="1:30" x14ac:dyDescent="0.2">
      <c r="A58" s="3" t="str">
        <f t="shared" si="0"/>
        <v>20178</v>
      </c>
      <c r="B58" s="49">
        <f t="shared" si="1"/>
        <v>2017</v>
      </c>
      <c r="C58" s="52">
        <v>42978</v>
      </c>
      <c r="D58" s="53">
        <v>21310062.84</v>
      </c>
      <c r="E58" s="54">
        <v>11.6</v>
      </c>
      <c r="F58" s="54">
        <v>75.2</v>
      </c>
      <c r="G58" s="53">
        <v>31</v>
      </c>
      <c r="H58" s="53">
        <v>0</v>
      </c>
      <c r="I58" s="53">
        <v>368</v>
      </c>
      <c r="J58" s="53">
        <v>0</v>
      </c>
      <c r="K58" s="55">
        <v>41.2</v>
      </c>
      <c r="L58" s="53">
        <v>12244</v>
      </c>
      <c r="M58" s="53">
        <v>56</v>
      </c>
      <c r="N58" s="94">
        <v>760.4</v>
      </c>
      <c r="O58" s="56">
        <v>160.35776344188849</v>
      </c>
      <c r="P58" s="98">
        <v>6894318.8462530961</v>
      </c>
      <c r="Q58">
        <v>10964</v>
      </c>
      <c r="R58" s="98">
        <v>2745903.8040328831</v>
      </c>
      <c r="S58">
        <v>1148</v>
      </c>
      <c r="T58" s="245">
        <f>+[14]Sheet1!D58</f>
        <v>10824212.116631428</v>
      </c>
      <c r="U58" s="245">
        <f>+[14]Sheet1!I58</f>
        <v>25263.828330588858</v>
      </c>
      <c r="V58">
        <v>132</v>
      </c>
      <c r="W58" s="98">
        <v>61864.783894666536</v>
      </c>
      <c r="X58" s="98">
        <v>201.22</v>
      </c>
      <c r="Y58">
        <v>2893</v>
      </c>
      <c r="Z58" s="98">
        <v>8854.3459593550288</v>
      </c>
      <c r="AA58" s="98">
        <v>23.9</v>
      </c>
      <c r="AB58" s="98">
        <v>151</v>
      </c>
      <c r="AC58" s="98">
        <v>31278.265432687698</v>
      </c>
      <c r="AD58" s="98">
        <v>97</v>
      </c>
    </row>
    <row r="59" spans="1:30" x14ac:dyDescent="0.2">
      <c r="A59" s="3" t="str">
        <f t="shared" si="0"/>
        <v>20179</v>
      </c>
      <c r="B59" s="49">
        <f t="shared" si="1"/>
        <v>2017</v>
      </c>
      <c r="C59" s="52">
        <v>43008</v>
      </c>
      <c r="D59" s="53">
        <v>20719473.609999999</v>
      </c>
      <c r="E59" s="54">
        <v>49.1</v>
      </c>
      <c r="F59" s="54">
        <v>71.499999999999986</v>
      </c>
      <c r="G59" s="53">
        <v>30</v>
      </c>
      <c r="H59" s="53">
        <v>1</v>
      </c>
      <c r="I59" s="53">
        <v>320</v>
      </c>
      <c r="J59" s="53">
        <v>0</v>
      </c>
      <c r="K59" s="55">
        <v>40.5</v>
      </c>
      <c r="L59" s="53">
        <v>12278</v>
      </c>
      <c r="M59" s="53">
        <v>57</v>
      </c>
      <c r="N59" s="94">
        <v>751.9</v>
      </c>
      <c r="O59" s="56">
        <v>160.67500426280395</v>
      </c>
      <c r="P59" s="98">
        <v>6687986.0876193978</v>
      </c>
      <c r="Q59">
        <v>10997</v>
      </c>
      <c r="R59" s="98">
        <v>2663948.908441186</v>
      </c>
      <c r="S59">
        <v>1149</v>
      </c>
      <c r="T59" s="245">
        <f>+[14]Sheet1!D59</f>
        <v>10614699.791408835</v>
      </c>
      <c r="U59" s="245">
        <f>+[14]Sheet1!I59</f>
        <v>26496.651746739273</v>
      </c>
      <c r="V59">
        <v>132</v>
      </c>
      <c r="W59" s="98">
        <v>68414.750500906404</v>
      </c>
      <c r="X59" s="98">
        <v>201.22</v>
      </c>
      <c r="Y59">
        <v>2893</v>
      </c>
      <c r="Z59" s="98">
        <v>8311.7363165092356</v>
      </c>
      <c r="AA59" s="98">
        <v>23.9</v>
      </c>
      <c r="AB59" s="98">
        <v>148</v>
      </c>
      <c r="AC59" s="98">
        <v>31278.265432687698</v>
      </c>
      <c r="AD59" s="98">
        <v>97</v>
      </c>
    </row>
    <row r="60" spans="1:30" x14ac:dyDescent="0.2">
      <c r="A60" s="3" t="str">
        <f t="shared" si="0"/>
        <v>201710</v>
      </c>
      <c r="B60" s="49">
        <f t="shared" si="1"/>
        <v>2017</v>
      </c>
      <c r="C60" s="52">
        <v>43039</v>
      </c>
      <c r="D60" s="53">
        <v>20243543.530000001</v>
      </c>
      <c r="E60" s="54">
        <v>153.99999999999997</v>
      </c>
      <c r="F60" s="54">
        <v>8.1</v>
      </c>
      <c r="G60" s="53">
        <v>31</v>
      </c>
      <c r="H60" s="53">
        <v>1</v>
      </c>
      <c r="I60" s="53">
        <v>336</v>
      </c>
      <c r="J60" s="53">
        <v>0</v>
      </c>
      <c r="K60" s="55">
        <v>35.5</v>
      </c>
      <c r="L60" s="53">
        <v>12304</v>
      </c>
      <c r="M60" s="53">
        <v>58</v>
      </c>
      <c r="N60" s="94">
        <v>741.8</v>
      </c>
      <c r="O60" s="56">
        <v>160.99287269124085</v>
      </c>
      <c r="P60" s="98">
        <v>6248508.5917640133</v>
      </c>
      <c r="Q60">
        <v>11023</v>
      </c>
      <c r="R60" s="98">
        <v>2583871.6279106806</v>
      </c>
      <c r="S60">
        <v>1148</v>
      </c>
      <c r="T60" s="245">
        <f>+[14]Sheet1!D60</f>
        <v>10570160.737586012</v>
      </c>
      <c r="U60" s="245">
        <f>+[14]Sheet1!I60</f>
        <v>24503.736531471463</v>
      </c>
      <c r="V60">
        <v>133</v>
      </c>
      <c r="W60" s="98">
        <v>80627.716820914036</v>
      </c>
      <c r="X60" s="98">
        <v>201.22</v>
      </c>
      <c r="Y60">
        <v>2893</v>
      </c>
      <c r="Z60" s="98">
        <v>8588.7325591433055</v>
      </c>
      <c r="AA60" s="98">
        <v>22.9</v>
      </c>
      <c r="AB60" s="98">
        <v>148</v>
      </c>
      <c r="AC60" s="98">
        <v>31278.265432687698</v>
      </c>
      <c r="AD60" s="98">
        <v>97</v>
      </c>
    </row>
    <row r="61" spans="1:30" x14ac:dyDescent="0.2">
      <c r="A61" s="3" t="str">
        <f t="shared" si="0"/>
        <v>201711</v>
      </c>
      <c r="B61" s="49">
        <f t="shared" si="1"/>
        <v>2017</v>
      </c>
      <c r="C61" s="52">
        <v>43069</v>
      </c>
      <c r="D61" s="53">
        <v>21468651.379999999</v>
      </c>
      <c r="E61" s="54">
        <v>429.35</v>
      </c>
      <c r="F61" s="54">
        <v>0</v>
      </c>
      <c r="G61" s="53">
        <v>30</v>
      </c>
      <c r="H61" s="53">
        <v>1</v>
      </c>
      <c r="I61" s="53">
        <v>352</v>
      </c>
      <c r="J61" s="53">
        <v>0</v>
      </c>
      <c r="K61" s="55">
        <v>31.5</v>
      </c>
      <c r="L61" s="53">
        <v>12326</v>
      </c>
      <c r="M61" s="53">
        <v>59</v>
      </c>
      <c r="N61" s="94">
        <v>732.7</v>
      </c>
      <c r="O61" s="56">
        <v>161.31136996881492</v>
      </c>
      <c r="P61" s="98">
        <v>7054593.890105403</v>
      </c>
      <c r="Q61">
        <v>11048</v>
      </c>
      <c r="R61" s="98">
        <v>2910095.3959281086</v>
      </c>
      <c r="S61">
        <v>1146</v>
      </c>
      <c r="T61" s="245">
        <f>+[14]Sheet1!D61</f>
        <v>10701450.783997614</v>
      </c>
      <c r="U61" s="245">
        <f>+[14]Sheet1!I61</f>
        <v>23959.081441206425</v>
      </c>
      <c r="V61">
        <v>132</v>
      </c>
      <c r="W61" s="98">
        <v>89107.499284419435</v>
      </c>
      <c r="X61" s="98">
        <v>201.22</v>
      </c>
      <c r="Y61">
        <v>2893</v>
      </c>
      <c r="Z61" s="98">
        <v>8311.73415840909</v>
      </c>
      <c r="AA61" s="98">
        <v>24.1</v>
      </c>
      <c r="AB61" s="98">
        <v>151</v>
      </c>
      <c r="AC61" s="98">
        <v>31278.265432687698</v>
      </c>
      <c r="AD61" s="98">
        <v>97</v>
      </c>
    </row>
    <row r="62" spans="1:30" x14ac:dyDescent="0.2">
      <c r="A62" s="3" t="str">
        <f t="shared" si="0"/>
        <v>201712</v>
      </c>
      <c r="B62" s="49">
        <f t="shared" si="1"/>
        <v>2017</v>
      </c>
      <c r="C62" s="52">
        <v>43100</v>
      </c>
      <c r="D62" s="53">
        <v>22467268.620000001</v>
      </c>
      <c r="E62" s="54">
        <v>718.49999999999989</v>
      </c>
      <c r="F62" s="54">
        <v>0</v>
      </c>
      <c r="G62" s="53">
        <v>31</v>
      </c>
      <c r="H62" s="53">
        <v>0</v>
      </c>
      <c r="I62" s="53">
        <v>304</v>
      </c>
      <c r="J62" s="53">
        <v>0</v>
      </c>
      <c r="K62" s="55">
        <v>31.2</v>
      </c>
      <c r="L62" s="53">
        <v>12365</v>
      </c>
      <c r="M62" s="53">
        <v>60</v>
      </c>
      <c r="N62" s="94">
        <v>722.9</v>
      </c>
      <c r="O62" s="56">
        <v>161.63049733959846</v>
      </c>
      <c r="P62" s="98">
        <v>8798321.2115890458</v>
      </c>
      <c r="Q62">
        <v>11084</v>
      </c>
      <c r="R62" s="98">
        <v>3332197.6946805171</v>
      </c>
      <c r="S62">
        <v>1149</v>
      </c>
      <c r="T62" s="245">
        <f>+[14]Sheet1!D62</f>
        <v>9708859.7751040924</v>
      </c>
      <c r="U62" s="245">
        <f>+[14]Sheet1!I62</f>
        <v>24047.017809210276</v>
      </c>
      <c r="V62">
        <v>132</v>
      </c>
      <c r="W62" s="98">
        <v>95213.691441656309</v>
      </c>
      <c r="X62" s="98">
        <v>201.22</v>
      </c>
      <c r="Y62">
        <v>2890</v>
      </c>
      <c r="Z62" s="98">
        <v>8588.7319912222156</v>
      </c>
      <c r="AA62" s="98">
        <v>23.2</v>
      </c>
      <c r="AB62" s="98">
        <v>151</v>
      </c>
      <c r="AC62" s="98">
        <v>31278.265432687698</v>
      </c>
      <c r="AD62" s="98">
        <v>97</v>
      </c>
    </row>
    <row r="63" spans="1:30" x14ac:dyDescent="0.2">
      <c r="A63" s="3" t="str">
        <f t="shared" si="0"/>
        <v>20181</v>
      </c>
      <c r="B63" s="49">
        <f t="shared" si="1"/>
        <v>2018</v>
      </c>
      <c r="C63" s="52">
        <v>43131</v>
      </c>
      <c r="D63" s="53">
        <v>24028241.710000001</v>
      </c>
      <c r="E63" s="54">
        <v>732.29999999999984</v>
      </c>
      <c r="F63" s="54">
        <v>0</v>
      </c>
      <c r="G63" s="53">
        <v>31</v>
      </c>
      <c r="H63" s="53">
        <v>0</v>
      </c>
      <c r="I63" s="53">
        <v>352</v>
      </c>
      <c r="J63" s="53">
        <v>0</v>
      </c>
      <c r="K63" s="55">
        <v>32.799999999999997</v>
      </c>
      <c r="L63" s="53">
        <v>12405</v>
      </c>
      <c r="M63" s="53">
        <v>61</v>
      </c>
      <c r="N63" s="94">
        <v>710</v>
      </c>
      <c r="O63" s="56">
        <v>161.9238733332927</v>
      </c>
      <c r="P63" s="98">
        <v>8701101.00392255</v>
      </c>
      <c r="Q63">
        <v>11124</v>
      </c>
      <c r="R63" s="98">
        <v>3533076.927120958</v>
      </c>
      <c r="S63">
        <v>1149</v>
      </c>
      <c r="T63" s="245">
        <f>+[14]Sheet1!D63</f>
        <v>10866796.996624272</v>
      </c>
      <c r="U63" s="245">
        <f>+[14]Sheet1!I63</f>
        <v>24016.983784879289</v>
      </c>
      <c r="V63">
        <v>132</v>
      </c>
      <c r="W63" s="98">
        <v>92770.75660719398</v>
      </c>
      <c r="X63" s="98">
        <v>201.22</v>
      </c>
      <c r="Y63">
        <v>2890</v>
      </c>
      <c r="Z63" s="98">
        <v>8588.7319912222138</v>
      </c>
      <c r="AA63" s="98">
        <v>22.4</v>
      </c>
      <c r="AB63" s="98">
        <v>151</v>
      </c>
      <c r="AC63" s="98">
        <v>31278.265432687698</v>
      </c>
      <c r="AD63" s="98">
        <v>97</v>
      </c>
    </row>
    <row r="64" spans="1:30" x14ac:dyDescent="0.2">
      <c r="A64" s="3" t="str">
        <f t="shared" si="0"/>
        <v>20182</v>
      </c>
      <c r="B64" s="49">
        <f t="shared" si="1"/>
        <v>2018</v>
      </c>
      <c r="C64" s="52">
        <v>43159</v>
      </c>
      <c r="D64" s="53">
        <v>20985005.432913534</v>
      </c>
      <c r="E64" s="54">
        <v>555.00000000000023</v>
      </c>
      <c r="F64" s="54">
        <v>0</v>
      </c>
      <c r="G64" s="53">
        <v>28</v>
      </c>
      <c r="H64" s="53">
        <v>0</v>
      </c>
      <c r="I64" s="53">
        <v>304</v>
      </c>
      <c r="J64" s="53">
        <v>0</v>
      </c>
      <c r="K64" s="55">
        <v>38.299999999999997</v>
      </c>
      <c r="L64" s="53">
        <v>12428</v>
      </c>
      <c r="M64" s="53">
        <v>62</v>
      </c>
      <c r="N64" s="94">
        <v>698.5</v>
      </c>
      <c r="O64" s="56">
        <v>162.21778183462067</v>
      </c>
      <c r="P64" s="98">
        <v>7266633.6828718111</v>
      </c>
      <c r="Q64">
        <v>11146</v>
      </c>
      <c r="R64" s="98">
        <v>3005254.8560367119</v>
      </c>
      <c r="S64">
        <v>1150</v>
      </c>
      <c r="T64" s="245">
        <f>+[14]Sheet1!D64</f>
        <v>9955101.5638736766</v>
      </c>
      <c r="U64" s="245">
        <f>+[14]Sheet1!I64</f>
        <v>23644.400514397621</v>
      </c>
      <c r="V64">
        <v>132</v>
      </c>
      <c r="W64" s="98">
        <v>84257.895239003905</v>
      </c>
      <c r="X64" s="98">
        <v>201.22</v>
      </c>
      <c r="Y64">
        <v>2890</v>
      </c>
      <c r="Z64" s="98">
        <v>7866.4631237477361</v>
      </c>
      <c r="AA64" s="98">
        <v>23.2</v>
      </c>
      <c r="AB64" s="98">
        <v>151</v>
      </c>
      <c r="AC64" s="98">
        <v>31278.265432687698</v>
      </c>
      <c r="AD64" s="98">
        <v>97</v>
      </c>
    </row>
    <row r="65" spans="1:30" x14ac:dyDescent="0.2">
      <c r="A65" s="3" t="str">
        <f t="shared" si="0"/>
        <v>20183</v>
      </c>
      <c r="B65" s="49">
        <f t="shared" si="1"/>
        <v>2018</v>
      </c>
      <c r="C65" s="52">
        <v>43190</v>
      </c>
      <c r="D65" s="53">
        <v>22598880.590000004</v>
      </c>
      <c r="E65" s="54">
        <v>553.99999999999989</v>
      </c>
      <c r="F65" s="54">
        <v>0</v>
      </c>
      <c r="G65" s="53">
        <v>31</v>
      </c>
      <c r="H65" s="53">
        <v>1</v>
      </c>
      <c r="I65" s="53">
        <v>336</v>
      </c>
      <c r="J65" s="53">
        <v>0</v>
      </c>
      <c r="K65" s="55">
        <v>43.4</v>
      </c>
      <c r="L65" s="53">
        <v>12449</v>
      </c>
      <c r="M65" s="53">
        <v>63</v>
      </c>
      <c r="N65" s="94">
        <v>695.1</v>
      </c>
      <c r="O65" s="56">
        <v>162.51222381013852</v>
      </c>
      <c r="P65" s="98">
        <v>7557906.2472316418</v>
      </c>
      <c r="Q65">
        <v>11164</v>
      </c>
      <c r="R65" s="98">
        <v>3149449.0722622438</v>
      </c>
      <c r="S65">
        <v>1151</v>
      </c>
      <c r="T65" s="245">
        <f>+[14]Sheet1!D65</f>
        <v>11129514.95109627</v>
      </c>
      <c r="U65" s="245">
        <f>+[14]Sheet1!I65</f>
        <v>23904.525500710581</v>
      </c>
      <c r="V65">
        <v>134</v>
      </c>
      <c r="W65" s="98">
        <v>75387.80650701269</v>
      </c>
      <c r="X65" s="98">
        <v>201.22</v>
      </c>
      <c r="Y65">
        <v>2890</v>
      </c>
      <c r="Z65" s="98">
        <v>8709.2643831695477</v>
      </c>
      <c r="AA65" s="98">
        <v>23.5</v>
      </c>
      <c r="AB65" s="98">
        <v>155</v>
      </c>
      <c r="AC65" s="98">
        <v>31278.265432687698</v>
      </c>
      <c r="AD65" s="98">
        <v>97</v>
      </c>
    </row>
    <row r="66" spans="1:30" x14ac:dyDescent="0.2">
      <c r="A66" s="3" t="str">
        <f t="shared" si="0"/>
        <v>20184</v>
      </c>
      <c r="B66" s="49">
        <f t="shared" si="1"/>
        <v>2018</v>
      </c>
      <c r="C66" s="52">
        <v>43220</v>
      </c>
      <c r="D66" s="53">
        <v>21216588.68</v>
      </c>
      <c r="E66" s="54">
        <v>437.20000000000005</v>
      </c>
      <c r="F66" s="54">
        <v>0</v>
      </c>
      <c r="G66" s="53">
        <v>30</v>
      </c>
      <c r="H66" s="53">
        <v>1</v>
      </c>
      <c r="I66" s="53">
        <v>336</v>
      </c>
      <c r="J66" s="53">
        <v>0</v>
      </c>
      <c r="K66" s="55">
        <v>43.9</v>
      </c>
      <c r="L66" s="53">
        <v>12479</v>
      </c>
      <c r="M66" s="53">
        <v>64</v>
      </c>
      <c r="N66" s="94">
        <v>702.2</v>
      </c>
      <c r="O66" s="56">
        <v>162.80720022815689</v>
      </c>
      <c r="P66" s="98">
        <v>7020209.6402652124</v>
      </c>
      <c r="Q66">
        <v>11192</v>
      </c>
      <c r="R66" s="98">
        <v>2921020.1678578532</v>
      </c>
      <c r="S66">
        <v>1150</v>
      </c>
      <c r="T66" s="245">
        <f>+[14]Sheet1!D66</f>
        <v>10441167.537226124</v>
      </c>
      <c r="U66" s="245">
        <f>+[14]Sheet1!I66</f>
        <v>23934.362433175917</v>
      </c>
      <c r="V66">
        <v>137</v>
      </c>
      <c r="W66" s="98">
        <v>62858.849346436407</v>
      </c>
      <c r="X66" s="98">
        <v>201.22</v>
      </c>
      <c r="Y66">
        <v>2890</v>
      </c>
      <c r="Z66" s="98">
        <v>8428.3751550424568</v>
      </c>
      <c r="AA66" s="98">
        <v>23.5</v>
      </c>
      <c r="AB66" s="98">
        <v>155</v>
      </c>
      <c r="AC66" s="98">
        <v>31278.265432687698</v>
      </c>
      <c r="AD66" s="98">
        <v>97</v>
      </c>
    </row>
    <row r="67" spans="1:30" x14ac:dyDescent="0.2">
      <c r="A67" s="3" t="str">
        <f t="shared" si="0"/>
        <v>20185</v>
      </c>
      <c r="B67" s="49">
        <f t="shared" si="1"/>
        <v>2018</v>
      </c>
      <c r="C67" s="52">
        <v>43251</v>
      </c>
      <c r="D67" s="53">
        <v>21095556.57</v>
      </c>
      <c r="E67" s="54">
        <v>75.3</v>
      </c>
      <c r="F67" s="54">
        <v>43.4</v>
      </c>
      <c r="G67" s="53">
        <v>31</v>
      </c>
      <c r="H67" s="53">
        <v>1</v>
      </c>
      <c r="I67" s="53">
        <v>352</v>
      </c>
      <c r="J67" s="53">
        <v>0</v>
      </c>
      <c r="K67" s="55">
        <v>45.2</v>
      </c>
      <c r="L67" s="53">
        <v>12500</v>
      </c>
      <c r="M67" s="53">
        <v>65</v>
      </c>
      <c r="N67" s="94">
        <v>711.6</v>
      </c>
      <c r="O67" s="56">
        <v>163.10271205874389</v>
      </c>
      <c r="P67" s="98">
        <v>6507108.4588764235</v>
      </c>
      <c r="Q67">
        <v>11209</v>
      </c>
      <c r="R67" s="98">
        <v>2762135.1098850905</v>
      </c>
      <c r="S67">
        <v>1150</v>
      </c>
      <c r="T67" s="245">
        <f>+[14]Sheet1!D67</f>
        <v>11060117.497148078</v>
      </c>
      <c r="U67" s="245">
        <f>+[14]Sheet1!I67</f>
        <v>25695.078204467827</v>
      </c>
      <c r="V67">
        <v>141</v>
      </c>
      <c r="W67" s="98">
        <v>56670.260471329064</v>
      </c>
      <c r="X67" s="98">
        <v>201.22</v>
      </c>
      <c r="Y67">
        <v>2890</v>
      </c>
      <c r="Z67" s="98">
        <v>8709.2643831695477</v>
      </c>
      <c r="AA67" s="98">
        <v>23.5</v>
      </c>
      <c r="AB67" s="98">
        <v>155</v>
      </c>
      <c r="AC67" s="98">
        <v>31278.265432687698</v>
      </c>
      <c r="AD67" s="98">
        <v>97</v>
      </c>
    </row>
    <row r="68" spans="1:30" x14ac:dyDescent="0.2">
      <c r="A68" s="3" t="str">
        <f t="shared" ref="A68:A131" si="2">YEAR(C68)&amp;MONTH(C68)</f>
        <v>20186</v>
      </c>
      <c r="B68" s="49">
        <f t="shared" ref="B68:B131" si="3">YEAR(C68)</f>
        <v>2018</v>
      </c>
      <c r="C68" s="52">
        <v>43281</v>
      </c>
      <c r="D68" s="53">
        <v>21446304.349999998</v>
      </c>
      <c r="E68" s="54">
        <v>14.799999999999999</v>
      </c>
      <c r="F68" s="54">
        <v>60.5</v>
      </c>
      <c r="G68" s="53">
        <v>30</v>
      </c>
      <c r="H68" s="53">
        <v>0</v>
      </c>
      <c r="I68" s="53">
        <v>336</v>
      </c>
      <c r="J68" s="53">
        <v>0</v>
      </c>
      <c r="K68" s="55">
        <v>43.2</v>
      </c>
      <c r="L68" s="53">
        <v>12506</v>
      </c>
      <c r="M68" s="53">
        <v>66</v>
      </c>
      <c r="N68" s="94">
        <v>728.4</v>
      </c>
      <c r="O68" s="56">
        <v>163.39876027372847</v>
      </c>
      <c r="P68" s="98">
        <v>7115491.9403303852</v>
      </c>
      <c r="Q68">
        <v>11217</v>
      </c>
      <c r="R68" s="98">
        <v>2764421.3815343874</v>
      </c>
      <c r="S68">
        <v>1150</v>
      </c>
      <c r="T68" s="245">
        <f>+[14]Sheet1!D68</f>
        <v>10637560.205355119</v>
      </c>
      <c r="U68" s="245">
        <f>+[14]Sheet1!I68</f>
        <v>26011.128497013124</v>
      </c>
      <c r="V68">
        <v>139</v>
      </c>
      <c r="W68" s="98">
        <v>48563.743917565116</v>
      </c>
      <c r="X68" s="98">
        <v>201.22</v>
      </c>
      <c r="Y68">
        <v>2890</v>
      </c>
      <c r="Z68" s="98">
        <v>8428.3751550424549</v>
      </c>
      <c r="AA68" s="98">
        <v>23.5</v>
      </c>
      <c r="AB68" s="98">
        <v>155</v>
      </c>
      <c r="AC68" s="98">
        <v>31278.265432687698</v>
      </c>
      <c r="AD68" s="98">
        <v>97</v>
      </c>
    </row>
    <row r="69" spans="1:30" x14ac:dyDescent="0.2">
      <c r="A69" s="3" t="str">
        <f t="shared" si="2"/>
        <v>20187</v>
      </c>
      <c r="B69" s="49">
        <f t="shared" si="3"/>
        <v>2018</v>
      </c>
      <c r="C69" s="52">
        <v>43312</v>
      </c>
      <c r="D69" s="53">
        <v>23894162.989999998</v>
      </c>
      <c r="E69" s="54">
        <v>0</v>
      </c>
      <c r="F69" s="54">
        <v>167.8</v>
      </c>
      <c r="G69" s="53">
        <v>31</v>
      </c>
      <c r="H69" s="53">
        <v>0</v>
      </c>
      <c r="I69" s="53">
        <v>336</v>
      </c>
      <c r="J69" s="53">
        <v>0</v>
      </c>
      <c r="K69" s="55">
        <v>43.2</v>
      </c>
      <c r="L69" s="53">
        <v>12521</v>
      </c>
      <c r="M69" s="53">
        <v>67</v>
      </c>
      <c r="N69" s="94">
        <v>748.1</v>
      </c>
      <c r="O69" s="56">
        <v>163.69534584670356</v>
      </c>
      <c r="P69" s="98">
        <v>8959182.6983135175</v>
      </c>
      <c r="Q69">
        <v>11225</v>
      </c>
      <c r="R69" s="98">
        <v>3054426.8078676285</v>
      </c>
      <c r="S69">
        <v>1156</v>
      </c>
      <c r="T69" s="245">
        <f>+[14]Sheet1!D69</f>
        <v>11207479.944700506</v>
      </c>
      <c r="U69" s="245">
        <f>+[14]Sheet1!I69</f>
        <v>25771.581255257795</v>
      </c>
      <c r="V69">
        <v>140</v>
      </c>
      <c r="W69" s="98">
        <v>51389.113634195208</v>
      </c>
      <c r="X69" s="98">
        <v>201.22</v>
      </c>
      <c r="Y69">
        <v>2890</v>
      </c>
      <c r="Z69" s="98">
        <v>8709.2643831695477</v>
      </c>
      <c r="AA69" s="98">
        <v>23.5</v>
      </c>
      <c r="AB69" s="98">
        <v>155</v>
      </c>
      <c r="AC69" s="98">
        <v>31263.640456540386</v>
      </c>
      <c r="AD69" s="98">
        <v>97</v>
      </c>
    </row>
    <row r="70" spans="1:30" x14ac:dyDescent="0.2">
      <c r="A70" s="3" t="str">
        <f t="shared" si="2"/>
        <v>20188</v>
      </c>
      <c r="B70" s="49">
        <f t="shared" si="3"/>
        <v>2018</v>
      </c>
      <c r="C70" s="52">
        <v>43343</v>
      </c>
      <c r="D70" s="53">
        <v>23956344.050000001</v>
      </c>
      <c r="E70" s="54">
        <v>1.2</v>
      </c>
      <c r="F70" s="54">
        <v>162.4</v>
      </c>
      <c r="G70" s="53">
        <v>31</v>
      </c>
      <c r="H70" s="53">
        <v>0</v>
      </c>
      <c r="I70" s="53">
        <v>368</v>
      </c>
      <c r="J70" s="53">
        <v>0</v>
      </c>
      <c r="K70" s="55">
        <v>40.4</v>
      </c>
      <c r="L70" s="53">
        <v>12543</v>
      </c>
      <c r="M70" s="53">
        <v>68</v>
      </c>
      <c r="N70" s="94">
        <v>757.4</v>
      </c>
      <c r="O70" s="56">
        <v>163.99246975302921</v>
      </c>
      <c r="P70" s="98">
        <v>8669261.0447955634</v>
      </c>
      <c r="Q70">
        <v>11247</v>
      </c>
      <c r="R70" s="98">
        <v>3004979.8461621366</v>
      </c>
      <c r="S70">
        <v>1156</v>
      </c>
      <c r="T70" s="245">
        <f>+[14]Sheet1!D70</f>
        <v>11314200.400254078</v>
      </c>
      <c r="U70" s="245">
        <f>+[14]Sheet1!I70</f>
        <v>25915.760102041717</v>
      </c>
      <c r="V70">
        <v>140</v>
      </c>
      <c r="W70" s="98">
        <v>61864.783894666536</v>
      </c>
      <c r="X70" s="98">
        <v>201.22</v>
      </c>
      <c r="Y70">
        <v>2890</v>
      </c>
      <c r="Z70" s="98">
        <v>8709.2643831695459</v>
      </c>
      <c r="AA70" s="98">
        <v>23.5</v>
      </c>
      <c r="AB70" s="98">
        <v>155</v>
      </c>
      <c r="AC70" s="98">
        <v>31292.890408835014</v>
      </c>
      <c r="AD70" s="98">
        <v>97</v>
      </c>
    </row>
    <row r="71" spans="1:30" x14ac:dyDescent="0.2">
      <c r="A71" s="3" t="str">
        <f t="shared" si="2"/>
        <v>20189</v>
      </c>
      <c r="B71" s="49">
        <f t="shared" si="3"/>
        <v>2018</v>
      </c>
      <c r="C71" s="52">
        <v>43373</v>
      </c>
      <c r="D71" s="53">
        <v>21668452.539136905</v>
      </c>
      <c r="E71" s="54">
        <v>45.04999999999999</v>
      </c>
      <c r="F71" s="54">
        <v>76.399999999999977</v>
      </c>
      <c r="G71" s="53">
        <v>30</v>
      </c>
      <c r="H71" s="53">
        <v>1</v>
      </c>
      <c r="I71" s="53">
        <v>304</v>
      </c>
      <c r="J71" s="53">
        <v>0</v>
      </c>
      <c r="K71" s="55">
        <v>36.200000000000003</v>
      </c>
      <c r="L71" s="53">
        <v>12558</v>
      </c>
      <c r="M71" s="53">
        <v>69</v>
      </c>
      <c r="N71" s="94">
        <v>755</v>
      </c>
      <c r="O71" s="56">
        <v>164.29013296983589</v>
      </c>
      <c r="P71" s="98">
        <v>7366165.8364613662</v>
      </c>
      <c r="Q71">
        <v>11266</v>
      </c>
      <c r="R71" s="98">
        <v>2692491.9151329566</v>
      </c>
      <c r="S71">
        <v>1158</v>
      </c>
      <c r="T71" s="245">
        <f>+[14]Sheet1!D71</f>
        <v>10886931.333087873</v>
      </c>
      <c r="U71" s="245">
        <f>+[14]Sheet1!I71</f>
        <v>26658.348160165475</v>
      </c>
      <c r="V71">
        <v>134</v>
      </c>
      <c r="W71" s="98">
        <v>68414.750500906404</v>
      </c>
      <c r="X71" s="98">
        <v>201.22</v>
      </c>
      <c r="Y71">
        <v>2912</v>
      </c>
      <c r="Z71" s="98">
        <v>8428.3747007055827</v>
      </c>
      <c r="AA71" s="98">
        <v>23.5</v>
      </c>
      <c r="AB71" s="98">
        <v>155</v>
      </c>
      <c r="AC71" s="98">
        <v>31278.265432687698</v>
      </c>
      <c r="AD71" s="98">
        <v>97</v>
      </c>
    </row>
    <row r="72" spans="1:30" x14ac:dyDescent="0.2">
      <c r="A72" s="3" t="str">
        <f t="shared" si="2"/>
        <v>201810</v>
      </c>
      <c r="B72" s="49">
        <f t="shared" si="3"/>
        <v>2018</v>
      </c>
      <c r="C72" s="52">
        <v>43404</v>
      </c>
      <c r="D72" s="53">
        <v>21228062.899999999</v>
      </c>
      <c r="E72" s="54">
        <v>289.40000000000003</v>
      </c>
      <c r="F72" s="54">
        <v>8.1999999999999993</v>
      </c>
      <c r="G72" s="53">
        <v>31</v>
      </c>
      <c r="H72" s="53">
        <v>1</v>
      </c>
      <c r="I72" s="53">
        <v>352</v>
      </c>
      <c r="J72" s="53">
        <v>0</v>
      </c>
      <c r="K72" s="55">
        <v>33.200000000000003</v>
      </c>
      <c r="L72" s="53">
        <v>12564</v>
      </c>
      <c r="M72" s="53">
        <v>70</v>
      </c>
      <c r="N72" s="94">
        <v>751.4</v>
      </c>
      <c r="O72" s="56">
        <v>164.58833647602765</v>
      </c>
      <c r="P72" s="98">
        <v>6744382.7450151891</v>
      </c>
      <c r="Q72">
        <v>11271</v>
      </c>
      <c r="R72" s="98">
        <v>2726545.1045258758</v>
      </c>
      <c r="S72">
        <v>1159</v>
      </c>
      <c r="T72" s="245">
        <f>+[14]Sheet1!D72</f>
        <v>10970571.353254078</v>
      </c>
      <c r="U72" s="245">
        <f>+[14]Sheet1!I72</f>
        <v>25210.144263947062</v>
      </c>
      <c r="V72">
        <v>134</v>
      </c>
      <c r="W72" s="98">
        <v>81053.592214483346</v>
      </c>
      <c r="X72" s="98">
        <v>202.39</v>
      </c>
      <c r="Y72">
        <v>2890</v>
      </c>
      <c r="Z72" s="98">
        <v>8709.2648375064182</v>
      </c>
      <c r="AA72" s="98">
        <v>23.5</v>
      </c>
      <c r="AB72" s="98">
        <v>151</v>
      </c>
      <c r="AC72" s="98">
        <v>31278.265432687698</v>
      </c>
      <c r="AD72" s="98">
        <v>97</v>
      </c>
    </row>
    <row r="73" spans="1:30" x14ac:dyDescent="0.2">
      <c r="A73" s="3" t="str">
        <f t="shared" si="2"/>
        <v>201811</v>
      </c>
      <c r="B73" s="49">
        <f t="shared" si="3"/>
        <v>2018</v>
      </c>
      <c r="C73" s="52">
        <v>43434</v>
      </c>
      <c r="D73" s="53">
        <v>22168373.890000001</v>
      </c>
      <c r="E73" s="54">
        <v>494.1</v>
      </c>
      <c r="F73" s="54">
        <v>0</v>
      </c>
      <c r="G73" s="53">
        <v>30</v>
      </c>
      <c r="H73" s="53">
        <v>1</v>
      </c>
      <c r="I73" s="53">
        <v>352</v>
      </c>
      <c r="J73" s="53">
        <v>0</v>
      </c>
      <c r="K73" s="55">
        <v>29.4</v>
      </c>
      <c r="L73" s="53">
        <v>12578</v>
      </c>
      <c r="M73" s="53">
        <v>71</v>
      </c>
      <c r="N73" s="94">
        <v>754.4</v>
      </c>
      <c r="O73" s="56">
        <v>164.88708125228533</v>
      </c>
      <c r="P73" s="98">
        <v>7409894.9703931855</v>
      </c>
      <c r="Q73">
        <v>11283</v>
      </c>
      <c r="R73" s="98">
        <v>2998922.7530015004</v>
      </c>
      <c r="S73">
        <v>1161</v>
      </c>
      <c r="T73" s="245">
        <f>+[14]Sheet1!D73</f>
        <v>10890315.369866615</v>
      </c>
      <c r="U73" s="245">
        <f>+[14]Sheet1!I73</f>
        <v>24123.929821054568</v>
      </c>
      <c r="V73">
        <v>134</v>
      </c>
      <c r="W73" s="98">
        <v>90707.880927392442</v>
      </c>
      <c r="X73" s="98">
        <v>204.97</v>
      </c>
      <c r="Y73">
        <v>2939</v>
      </c>
      <c r="Z73" s="98">
        <v>8428.3751550424549</v>
      </c>
      <c r="AA73" s="98">
        <v>23.5</v>
      </c>
      <c r="AB73" s="98">
        <v>151</v>
      </c>
      <c r="AC73" s="98">
        <v>31278.265432687698</v>
      </c>
      <c r="AD73" s="98">
        <v>97</v>
      </c>
    </row>
    <row r="74" spans="1:30" x14ac:dyDescent="0.2">
      <c r="A74" s="3" t="str">
        <f t="shared" si="2"/>
        <v>201812</v>
      </c>
      <c r="B74" s="49">
        <f t="shared" si="3"/>
        <v>2018</v>
      </c>
      <c r="C74" s="52">
        <v>43465</v>
      </c>
      <c r="D74" s="53">
        <v>22187282.27</v>
      </c>
      <c r="E74" s="54">
        <v>563.60000000000014</v>
      </c>
      <c r="F74" s="54">
        <v>0</v>
      </c>
      <c r="G74" s="53">
        <v>31</v>
      </c>
      <c r="H74" s="53">
        <v>0</v>
      </c>
      <c r="I74" s="53">
        <v>304</v>
      </c>
      <c r="J74" s="53">
        <v>0</v>
      </c>
      <c r="K74" s="55">
        <v>27.1</v>
      </c>
      <c r="L74" s="53">
        <v>12583</v>
      </c>
      <c r="M74" s="53">
        <v>72</v>
      </c>
      <c r="N74" s="94">
        <v>759.4</v>
      </c>
      <c r="O74" s="56">
        <v>165.18636828106963</v>
      </c>
      <c r="P74" s="98">
        <v>8392094.4686887022</v>
      </c>
      <c r="Q74">
        <v>11285</v>
      </c>
      <c r="R74" s="98">
        <v>3147228.6804211335</v>
      </c>
      <c r="S74">
        <v>1164</v>
      </c>
      <c r="T74" s="245">
        <f>+[14]Sheet1!D74</f>
        <v>9814428.064286327</v>
      </c>
      <c r="U74" s="245">
        <f>+[14]Sheet1!I74</f>
        <v>24965.355269473661</v>
      </c>
      <c r="V74">
        <v>134</v>
      </c>
      <c r="W74" s="98">
        <v>96965.986070031489</v>
      </c>
      <c r="X74" s="98">
        <v>204.97</v>
      </c>
      <c r="Y74">
        <v>2939</v>
      </c>
      <c r="Z74" s="98">
        <v>8709.2643831695477</v>
      </c>
      <c r="AA74" s="98">
        <v>23.5</v>
      </c>
      <c r="AB74" s="98">
        <v>155</v>
      </c>
      <c r="AC74" s="98">
        <v>31278.265432687698</v>
      </c>
      <c r="AD74" s="98">
        <v>97</v>
      </c>
    </row>
    <row r="75" spans="1:30" x14ac:dyDescent="0.2">
      <c r="A75" s="3" t="str">
        <f t="shared" si="2"/>
        <v>20191</v>
      </c>
      <c r="B75" s="49">
        <f t="shared" si="3"/>
        <v>2019</v>
      </c>
      <c r="C75" s="52">
        <v>43496</v>
      </c>
      <c r="D75" s="53">
        <v>24587574.760000002</v>
      </c>
      <c r="E75" s="54">
        <v>764.5</v>
      </c>
      <c r="F75" s="54">
        <v>0</v>
      </c>
      <c r="G75" s="53">
        <v>31</v>
      </c>
      <c r="H75" s="53">
        <v>0</v>
      </c>
      <c r="I75" s="53">
        <v>352</v>
      </c>
      <c r="J75" s="53">
        <v>0</v>
      </c>
      <c r="K75" s="55">
        <v>28.3</v>
      </c>
      <c r="L75" s="53">
        <v>12601</v>
      </c>
      <c r="M75" s="53">
        <v>73</v>
      </c>
      <c r="N75" s="94">
        <v>757</v>
      </c>
      <c r="O75" s="56">
        <v>165.45918699825475</v>
      </c>
      <c r="P75" s="98">
        <v>8856787.379445998</v>
      </c>
      <c r="Q75">
        <v>11303</v>
      </c>
      <c r="R75" s="98">
        <v>3495940.0618500989</v>
      </c>
      <c r="S75">
        <v>1165</v>
      </c>
      <c r="T75" s="245">
        <f>+[14]Sheet1!D75</f>
        <v>11247655.863902679</v>
      </c>
      <c r="U75" s="245">
        <f>+[14]Sheet1!I75</f>
        <v>25247.757273901047</v>
      </c>
      <c r="V75">
        <v>133</v>
      </c>
      <c r="W75" s="98">
        <v>94528.499189008682</v>
      </c>
      <c r="X75" s="98">
        <v>204.97</v>
      </c>
      <c r="Y75">
        <v>2939</v>
      </c>
      <c r="Z75" s="98">
        <v>8709.2643831695477</v>
      </c>
      <c r="AA75" s="98">
        <v>24.9</v>
      </c>
      <c r="AB75" s="98">
        <v>155</v>
      </c>
      <c r="AC75" s="98">
        <v>31278.265432687698</v>
      </c>
      <c r="AD75" s="98">
        <v>97</v>
      </c>
    </row>
    <row r="76" spans="1:30" x14ac:dyDescent="0.2">
      <c r="A76" s="3" t="str">
        <f t="shared" si="2"/>
        <v>20192</v>
      </c>
      <c r="B76" s="49">
        <f t="shared" si="3"/>
        <v>2019</v>
      </c>
      <c r="C76" s="52">
        <v>43524</v>
      </c>
      <c r="D76" s="53">
        <v>21580871.099999998</v>
      </c>
      <c r="E76" s="54">
        <v>621.70000000000016</v>
      </c>
      <c r="F76" s="54">
        <v>0</v>
      </c>
      <c r="G76" s="53">
        <v>28</v>
      </c>
      <c r="H76" s="53">
        <v>0</v>
      </c>
      <c r="I76" s="53">
        <v>304</v>
      </c>
      <c r="J76" s="53">
        <v>0</v>
      </c>
      <c r="K76" s="55">
        <v>31</v>
      </c>
      <c r="L76" s="53">
        <v>12601</v>
      </c>
      <c r="M76" s="53">
        <v>74</v>
      </c>
      <c r="N76" s="94">
        <v>749.6</v>
      </c>
      <c r="O76" s="56">
        <v>165.732456297732</v>
      </c>
      <c r="P76" s="98">
        <v>7692502.1203220971</v>
      </c>
      <c r="Q76">
        <v>11305</v>
      </c>
      <c r="R76" s="98">
        <v>3084077.5552533371</v>
      </c>
      <c r="S76">
        <v>1163</v>
      </c>
      <c r="T76" s="245">
        <f>+[14]Sheet1!D76</f>
        <v>10309241.554083768</v>
      </c>
      <c r="U76" s="245">
        <f>+[14]Sheet1!I76</f>
        <v>25027.533137561422</v>
      </c>
      <c r="V76">
        <v>133</v>
      </c>
      <c r="W76" s="98">
        <v>85848.478198645156</v>
      </c>
      <c r="X76" s="98">
        <v>204.97</v>
      </c>
      <c r="Y76">
        <v>2939</v>
      </c>
      <c r="Z76" s="98">
        <v>7866.4631237477361</v>
      </c>
      <c r="AA76" s="98">
        <v>23.5</v>
      </c>
      <c r="AB76" s="98">
        <v>155</v>
      </c>
      <c r="AC76" s="98">
        <v>31278.265432687698</v>
      </c>
      <c r="AD76" s="98">
        <v>97</v>
      </c>
    </row>
    <row r="77" spans="1:30" x14ac:dyDescent="0.2">
      <c r="A77" s="3" t="str">
        <f t="shared" si="2"/>
        <v>20193</v>
      </c>
      <c r="B77" s="49">
        <f t="shared" si="3"/>
        <v>2019</v>
      </c>
      <c r="C77" s="52">
        <v>43555</v>
      </c>
      <c r="D77" s="53">
        <v>23246608.300000001</v>
      </c>
      <c r="E77" s="54">
        <v>593.90000000000009</v>
      </c>
      <c r="F77" s="54">
        <v>0</v>
      </c>
      <c r="G77" s="53">
        <v>31</v>
      </c>
      <c r="H77" s="53">
        <v>1</v>
      </c>
      <c r="I77" s="53">
        <v>336</v>
      </c>
      <c r="J77" s="53">
        <v>0</v>
      </c>
      <c r="K77" s="55">
        <v>38.6</v>
      </c>
      <c r="L77" s="53">
        <v>12603</v>
      </c>
      <c r="M77" s="53">
        <v>75</v>
      </c>
      <c r="N77" s="94">
        <v>742</v>
      </c>
      <c r="O77" s="56">
        <v>166.00617692367464</v>
      </c>
      <c r="P77" s="98">
        <v>7824335.7703081574</v>
      </c>
      <c r="Q77">
        <v>11305</v>
      </c>
      <c r="R77" s="98">
        <v>3220864.3182306094</v>
      </c>
      <c r="S77">
        <v>1165</v>
      </c>
      <c r="T77" s="245">
        <f>+[14]Sheet1!D77</f>
        <v>11174254.330150843</v>
      </c>
      <c r="U77" s="245">
        <f>+[14]Sheet1!I77</f>
        <v>24743.924690103177</v>
      </c>
      <c r="V77">
        <v>133</v>
      </c>
      <c r="W77" s="98">
        <v>76866.673027382887</v>
      </c>
      <c r="X77" s="98">
        <v>204.97</v>
      </c>
      <c r="Y77">
        <v>2939</v>
      </c>
      <c r="Z77" s="98">
        <v>8709.2643831695459</v>
      </c>
      <c r="AA77" s="98">
        <v>23.5</v>
      </c>
      <c r="AB77" s="98">
        <v>155</v>
      </c>
      <c r="AC77" s="98">
        <v>31278.265432687698</v>
      </c>
      <c r="AD77" s="98">
        <v>97</v>
      </c>
    </row>
    <row r="78" spans="1:30" x14ac:dyDescent="0.2">
      <c r="A78" s="3" t="str">
        <f t="shared" si="2"/>
        <v>20194</v>
      </c>
      <c r="B78" s="49">
        <f t="shared" si="3"/>
        <v>2019</v>
      </c>
      <c r="C78" s="52">
        <v>43585</v>
      </c>
      <c r="D78" s="53">
        <v>20642403.32</v>
      </c>
      <c r="E78" s="54">
        <v>346.8</v>
      </c>
      <c r="F78" s="54">
        <v>0</v>
      </c>
      <c r="G78" s="53">
        <v>30</v>
      </c>
      <c r="H78" s="53">
        <v>1</v>
      </c>
      <c r="I78" s="53">
        <v>336</v>
      </c>
      <c r="J78" s="53">
        <v>0</v>
      </c>
      <c r="K78" s="55">
        <v>43.7</v>
      </c>
      <c r="L78" s="53">
        <v>12608</v>
      </c>
      <c r="M78" s="53">
        <v>76</v>
      </c>
      <c r="N78" s="94">
        <v>743.2</v>
      </c>
      <c r="O78" s="56">
        <v>166.28034962148504</v>
      </c>
      <c r="P78" s="98">
        <v>6701916.6911788424</v>
      </c>
      <c r="Q78">
        <v>11310</v>
      </c>
      <c r="R78" s="98">
        <v>2791641.031822945</v>
      </c>
      <c r="S78">
        <v>1166</v>
      </c>
      <c r="T78" s="245">
        <f>+[14]Sheet1!D78</f>
        <v>10418033.620411508</v>
      </c>
      <c r="U78" s="245">
        <f>+[14]Sheet1!I78</f>
        <v>24602.936533422453</v>
      </c>
      <c r="V78">
        <v>132</v>
      </c>
      <c r="W78" s="98">
        <v>64096.670165060583</v>
      </c>
      <c r="X78" s="98">
        <v>204.97</v>
      </c>
      <c r="Y78">
        <v>2939</v>
      </c>
      <c r="Z78" s="98">
        <v>8428.3751550424549</v>
      </c>
      <c r="AA78" s="98">
        <v>23.5</v>
      </c>
      <c r="AB78" s="98">
        <v>155</v>
      </c>
      <c r="AC78" s="98">
        <v>31278.265432687698</v>
      </c>
      <c r="AD78" s="98">
        <v>97</v>
      </c>
    </row>
    <row r="79" spans="1:30" x14ac:dyDescent="0.2">
      <c r="A79" s="3" t="str">
        <f t="shared" si="2"/>
        <v>20195</v>
      </c>
      <c r="B79" s="49">
        <f t="shared" si="3"/>
        <v>2019</v>
      </c>
      <c r="C79" s="52">
        <v>43616</v>
      </c>
      <c r="D79" s="53">
        <v>20313028.579999998</v>
      </c>
      <c r="E79" s="54">
        <v>189.94999999999996</v>
      </c>
      <c r="F79" s="54">
        <v>0</v>
      </c>
      <c r="G79" s="53">
        <v>31</v>
      </c>
      <c r="H79" s="53">
        <v>1</v>
      </c>
      <c r="I79" s="53">
        <v>352</v>
      </c>
      <c r="J79" s="53">
        <v>0</v>
      </c>
      <c r="K79" s="55">
        <v>46.2</v>
      </c>
      <c r="L79" s="53">
        <v>12614</v>
      </c>
      <c r="M79" s="53">
        <v>77</v>
      </c>
      <c r="N79" s="94">
        <v>757.2</v>
      </c>
      <c r="O79" s="56">
        <v>166.55497513779665</v>
      </c>
      <c r="P79" s="98">
        <v>6195120.9743121937</v>
      </c>
      <c r="Q79">
        <v>11317</v>
      </c>
      <c r="R79" s="98">
        <v>2651205.0205726731</v>
      </c>
      <c r="S79">
        <v>1165</v>
      </c>
      <c r="T79" s="245">
        <f>+[14]Sheet1!D79</f>
        <v>10869440.654281175</v>
      </c>
      <c r="U79" s="245">
        <f>+[14]Sheet1!I79</f>
        <v>25143.729612211358</v>
      </c>
      <c r="V79">
        <v>132</v>
      </c>
      <c r="W79" s="98">
        <v>57799.704226695918</v>
      </c>
      <c r="X79" s="98">
        <v>204.97</v>
      </c>
      <c r="Y79">
        <v>2939</v>
      </c>
      <c r="Z79" s="98">
        <v>8709.2643831695477</v>
      </c>
      <c r="AA79" s="98">
        <v>23.5</v>
      </c>
      <c r="AB79" s="98">
        <v>155</v>
      </c>
      <c r="AC79" s="98">
        <v>31278.265432687698</v>
      </c>
      <c r="AD79" s="98">
        <v>97</v>
      </c>
    </row>
    <row r="80" spans="1:30" x14ac:dyDescent="0.2">
      <c r="A80" s="3" t="str">
        <f t="shared" si="2"/>
        <v>20196</v>
      </c>
      <c r="B80" s="49">
        <f t="shared" si="3"/>
        <v>2019</v>
      </c>
      <c r="C80" s="52">
        <v>43646</v>
      </c>
      <c r="D80" s="53">
        <v>20039267.039999999</v>
      </c>
      <c r="E80" s="54">
        <v>35.5</v>
      </c>
      <c r="F80" s="54">
        <v>41.300000000000004</v>
      </c>
      <c r="G80" s="53">
        <v>30</v>
      </c>
      <c r="H80" s="53">
        <v>0</v>
      </c>
      <c r="I80" s="53">
        <v>320</v>
      </c>
      <c r="J80" s="53">
        <v>0</v>
      </c>
      <c r="K80" s="55">
        <v>43.9</v>
      </c>
      <c r="L80" s="53">
        <v>12635</v>
      </c>
      <c r="M80" s="53">
        <v>78</v>
      </c>
      <c r="N80" s="94">
        <v>773.4</v>
      </c>
      <c r="O80" s="56">
        <v>166.83005422047603</v>
      </c>
      <c r="P80" s="98">
        <v>6431926.6769556012</v>
      </c>
      <c r="Q80">
        <v>11339</v>
      </c>
      <c r="R80" s="98">
        <v>2604827.3236087235</v>
      </c>
      <c r="S80">
        <v>1164</v>
      </c>
      <c r="T80" s="245">
        <f>+[14]Sheet1!D80</f>
        <v>10230346.518014692</v>
      </c>
      <c r="U80" s="245">
        <f>+[14]Sheet1!I80</f>
        <v>25117.969829585476</v>
      </c>
      <c r="V80">
        <v>132</v>
      </c>
      <c r="W80" s="98">
        <v>49506.611964507203</v>
      </c>
      <c r="X80" s="98">
        <v>204.97</v>
      </c>
      <c r="Y80">
        <v>2939</v>
      </c>
      <c r="Z80" s="98">
        <v>8428.3751550424549</v>
      </c>
      <c r="AA80" s="98">
        <v>23.5</v>
      </c>
      <c r="AB80" s="98">
        <v>155</v>
      </c>
      <c r="AC80" s="98">
        <v>31278.265432687698</v>
      </c>
      <c r="AD80" s="98">
        <v>97</v>
      </c>
    </row>
    <row r="81" spans="1:30" x14ac:dyDescent="0.2">
      <c r="A81" s="3" t="str">
        <f t="shared" si="2"/>
        <v>20197</v>
      </c>
      <c r="B81" s="49">
        <f t="shared" si="3"/>
        <v>2019</v>
      </c>
      <c r="C81" s="52">
        <v>43677</v>
      </c>
      <c r="D81" s="53">
        <v>24391822</v>
      </c>
      <c r="E81" s="54">
        <v>0</v>
      </c>
      <c r="F81" s="54">
        <v>166.90000000000003</v>
      </c>
      <c r="G81" s="53">
        <v>31</v>
      </c>
      <c r="H81" s="53">
        <v>0</v>
      </c>
      <c r="I81" s="53">
        <v>352</v>
      </c>
      <c r="J81" s="53">
        <v>0</v>
      </c>
      <c r="K81" s="55">
        <v>44.5</v>
      </c>
      <c r="L81" s="53">
        <v>12652</v>
      </c>
      <c r="M81" s="53">
        <v>79</v>
      </c>
      <c r="N81" s="94">
        <v>775.1</v>
      </c>
      <c r="O81" s="56">
        <v>167.1055876186249</v>
      </c>
      <c r="P81" s="98">
        <v>9356504.1119963508</v>
      </c>
      <c r="Q81">
        <v>11355</v>
      </c>
      <c r="R81" s="98">
        <v>3106784.3925518948</v>
      </c>
      <c r="S81">
        <v>1165</v>
      </c>
      <c r="T81" s="245">
        <f>+[14]Sheet1!D81</f>
        <v>11085354.348109053</v>
      </c>
      <c r="U81" s="245">
        <f>+[14]Sheet1!I81</f>
        <v>25786.316971902866</v>
      </c>
      <c r="V81">
        <v>132</v>
      </c>
      <c r="W81" s="98">
        <v>52385.631142066602</v>
      </c>
      <c r="X81" s="98">
        <v>204.97</v>
      </c>
      <c r="Y81">
        <v>2939</v>
      </c>
      <c r="Z81" s="98">
        <v>8709.2643831695477</v>
      </c>
      <c r="AA81" s="98">
        <v>23.5</v>
      </c>
      <c r="AB81" s="98">
        <v>155</v>
      </c>
      <c r="AC81" s="98">
        <v>31278.265432687698</v>
      </c>
      <c r="AD81" s="98">
        <v>97</v>
      </c>
    </row>
    <row r="82" spans="1:30" x14ac:dyDescent="0.2">
      <c r="A82" s="3" t="str">
        <f t="shared" si="2"/>
        <v>20198</v>
      </c>
      <c r="B82" s="49">
        <f t="shared" si="3"/>
        <v>2019</v>
      </c>
      <c r="C82" s="52">
        <v>43708</v>
      </c>
      <c r="D82" s="53">
        <v>22245573.850000001</v>
      </c>
      <c r="E82" s="54">
        <v>0.89999999999999991</v>
      </c>
      <c r="F82" s="54">
        <v>103.30000000000003</v>
      </c>
      <c r="G82" s="53">
        <v>31</v>
      </c>
      <c r="H82" s="53">
        <v>0</v>
      </c>
      <c r="I82" s="53">
        <v>352</v>
      </c>
      <c r="J82" s="53">
        <v>0</v>
      </c>
      <c r="K82" s="55">
        <v>45.8</v>
      </c>
      <c r="L82" s="53">
        <v>12653</v>
      </c>
      <c r="M82" s="53">
        <v>80</v>
      </c>
      <c r="N82" s="94">
        <v>771.1</v>
      </c>
      <c r="O82" s="56">
        <v>167.3815760825822</v>
      </c>
      <c r="P82" s="98">
        <v>7707834.6575996177</v>
      </c>
      <c r="Q82">
        <v>11358</v>
      </c>
      <c r="R82" s="98">
        <v>2820443.1770913796</v>
      </c>
      <c r="S82">
        <v>1163</v>
      </c>
      <c r="T82" s="245">
        <f>+[14]Sheet1!D82</f>
        <v>10872405.545048755</v>
      </c>
      <c r="U82" s="245">
        <f>+[14]Sheet1!I82</f>
        <v>25395.491141429578</v>
      </c>
      <c r="V82">
        <v>132</v>
      </c>
      <c r="W82" s="98">
        <v>63002.518843621794</v>
      </c>
      <c r="X82" s="98">
        <v>204.97</v>
      </c>
      <c r="Y82">
        <v>2939</v>
      </c>
      <c r="Z82" s="98">
        <v>8709.2643831695477</v>
      </c>
      <c r="AA82" s="98">
        <v>23.5</v>
      </c>
      <c r="AB82" s="98">
        <v>155</v>
      </c>
      <c r="AC82" s="98">
        <v>31278.265432687698</v>
      </c>
      <c r="AD82" s="98">
        <v>97</v>
      </c>
    </row>
    <row r="83" spans="1:30" x14ac:dyDescent="0.2">
      <c r="A83" s="3" t="str">
        <f t="shared" si="2"/>
        <v>20199</v>
      </c>
      <c r="B83" s="49">
        <f t="shared" si="3"/>
        <v>2019</v>
      </c>
      <c r="C83" s="52">
        <v>43738</v>
      </c>
      <c r="D83" s="53">
        <v>20055564.270000003</v>
      </c>
      <c r="E83" s="54">
        <v>38.400000000000006</v>
      </c>
      <c r="F83" s="54">
        <v>25.400000000000002</v>
      </c>
      <c r="G83" s="53">
        <v>30</v>
      </c>
      <c r="H83" s="53">
        <v>1</v>
      </c>
      <c r="I83" s="53">
        <v>320</v>
      </c>
      <c r="J83" s="53">
        <v>0</v>
      </c>
      <c r="K83" s="55">
        <v>45.9</v>
      </c>
      <c r="L83" s="53">
        <v>12655</v>
      </c>
      <c r="M83" s="53">
        <v>81</v>
      </c>
      <c r="N83" s="94">
        <v>767.5</v>
      </c>
      <c r="O83" s="56">
        <v>167.65802036392614</v>
      </c>
      <c r="P83" s="98">
        <v>6230272.4716986129</v>
      </c>
      <c r="Q83">
        <v>11360</v>
      </c>
      <c r="R83" s="98">
        <v>2485674.6623829585</v>
      </c>
      <c r="S83">
        <v>1163</v>
      </c>
      <c r="T83" s="245">
        <f>+[14]Sheet1!D83</f>
        <v>10632966.781942278</v>
      </c>
      <c r="U83" s="245">
        <f>+[14]Sheet1!I83</f>
        <v>25689.934530110091</v>
      </c>
      <c r="V83">
        <v>132</v>
      </c>
      <c r="W83" s="98">
        <v>69661.892949146059</v>
      </c>
      <c r="X83" s="98">
        <v>204.97</v>
      </c>
      <c r="Y83">
        <v>2939</v>
      </c>
      <c r="Z83" s="98">
        <v>8428.3751550424549</v>
      </c>
      <c r="AA83" s="98">
        <v>23.5</v>
      </c>
      <c r="AB83" s="98">
        <v>155</v>
      </c>
      <c r="AC83" s="98">
        <v>31278.265432687698</v>
      </c>
      <c r="AD83" s="98">
        <v>97</v>
      </c>
    </row>
    <row r="84" spans="1:30" x14ac:dyDescent="0.2">
      <c r="A84" s="3" t="str">
        <f t="shared" si="2"/>
        <v>201910</v>
      </c>
      <c r="B84" s="49">
        <f t="shared" si="3"/>
        <v>2019</v>
      </c>
      <c r="C84" s="52">
        <v>43769</v>
      </c>
      <c r="D84" s="53">
        <v>20697385.880000003</v>
      </c>
      <c r="E84" s="54">
        <v>236.5</v>
      </c>
      <c r="F84" s="54">
        <v>5.0999999999999996</v>
      </c>
      <c r="G84" s="53">
        <v>31</v>
      </c>
      <c r="H84" s="53">
        <v>1</v>
      </c>
      <c r="I84" s="53">
        <v>352</v>
      </c>
      <c r="J84" s="53">
        <v>0</v>
      </c>
      <c r="K84" s="55">
        <v>41.8</v>
      </c>
      <c r="L84" s="53">
        <v>12656</v>
      </c>
      <c r="M84" s="53">
        <v>82</v>
      </c>
      <c r="N84" s="94">
        <v>771.8</v>
      </c>
      <c r="O84" s="56">
        <v>167.93492121547615</v>
      </c>
      <c r="P84" s="98">
        <v>6393677.486754599</v>
      </c>
      <c r="Q84">
        <v>11360</v>
      </c>
      <c r="R84" s="98">
        <v>2588342.8971406748</v>
      </c>
      <c r="S84">
        <v>1164</v>
      </c>
      <c r="T84" s="245">
        <f>+[14]Sheet1!D84</f>
        <v>11048394.653665682</v>
      </c>
      <c r="U84" s="245">
        <f>+[14]Sheet1!I84</f>
        <v>25410.322412268833</v>
      </c>
      <c r="V84">
        <v>132</v>
      </c>
      <c r="W84" s="98">
        <v>82093.62656235091</v>
      </c>
      <c r="X84" s="98">
        <v>204.97</v>
      </c>
      <c r="Y84">
        <v>2939</v>
      </c>
      <c r="Z84" s="98">
        <v>8779.9446617689191</v>
      </c>
      <c r="AA84" s="98">
        <v>23.5</v>
      </c>
      <c r="AB84" s="98">
        <v>157</v>
      </c>
      <c r="AC84" s="98">
        <v>31278.265432687698</v>
      </c>
      <c r="AD84" s="98">
        <v>97</v>
      </c>
    </row>
    <row r="85" spans="1:30" x14ac:dyDescent="0.2">
      <c r="A85" s="3" t="str">
        <f t="shared" si="2"/>
        <v>201911</v>
      </c>
      <c r="B85" s="49">
        <f t="shared" si="3"/>
        <v>2019</v>
      </c>
      <c r="C85" s="52">
        <v>43799</v>
      </c>
      <c r="D85" s="53">
        <v>22060075.600000001</v>
      </c>
      <c r="E85" s="54">
        <v>513.30000000000007</v>
      </c>
      <c r="F85" s="54">
        <v>0</v>
      </c>
      <c r="G85" s="53">
        <v>30</v>
      </c>
      <c r="H85" s="53">
        <v>1</v>
      </c>
      <c r="I85" s="53">
        <v>336</v>
      </c>
      <c r="J85" s="53">
        <v>0</v>
      </c>
      <c r="K85" s="55">
        <v>39.5</v>
      </c>
      <c r="L85" s="53">
        <v>12655</v>
      </c>
      <c r="M85" s="53">
        <v>83</v>
      </c>
      <c r="N85" s="94">
        <v>769.5</v>
      </c>
      <c r="O85" s="56">
        <v>168.21227939129508</v>
      </c>
      <c r="P85" s="98">
        <v>7395319.8647254016</v>
      </c>
      <c r="Q85">
        <v>11360</v>
      </c>
      <c r="R85" s="98">
        <v>2955852.3181770537</v>
      </c>
      <c r="S85">
        <v>1163</v>
      </c>
      <c r="T85" s="245">
        <f>+[14]Sheet1!D85</f>
        <v>10855100.152061444</v>
      </c>
      <c r="U85" s="245">
        <f>+[14]Sheet1!I85</f>
        <v>24361.761197702446</v>
      </c>
      <c r="V85">
        <v>132</v>
      </c>
      <c r="W85" s="98">
        <v>90707.880927392442</v>
      </c>
      <c r="X85" s="98">
        <v>204.97</v>
      </c>
      <c r="Y85">
        <v>2939</v>
      </c>
      <c r="Z85" s="98">
        <v>8496.7751168781579</v>
      </c>
      <c r="AA85" s="98">
        <v>23.7</v>
      </c>
      <c r="AB85" s="98">
        <v>157</v>
      </c>
      <c r="AC85" s="98">
        <v>31278.265432687698</v>
      </c>
      <c r="AD85" s="98">
        <v>97</v>
      </c>
    </row>
    <row r="86" spans="1:30" x14ac:dyDescent="0.2">
      <c r="A86" s="3" t="str">
        <f t="shared" si="2"/>
        <v>201912</v>
      </c>
      <c r="B86" s="49">
        <f t="shared" si="3"/>
        <v>2019</v>
      </c>
      <c r="C86" s="52">
        <v>43830</v>
      </c>
      <c r="D86" s="53">
        <v>22125178.859999999</v>
      </c>
      <c r="E86" s="54">
        <v>582.4</v>
      </c>
      <c r="F86" s="54">
        <v>0</v>
      </c>
      <c r="G86" s="53">
        <v>31</v>
      </c>
      <c r="H86" s="53">
        <v>0</v>
      </c>
      <c r="I86" s="53">
        <v>320</v>
      </c>
      <c r="J86" s="53">
        <v>0</v>
      </c>
      <c r="K86" s="55">
        <v>37.799999999999997</v>
      </c>
      <c r="L86" s="53">
        <v>12655</v>
      </c>
      <c r="M86" s="53">
        <v>84</v>
      </c>
      <c r="N86" s="94">
        <v>767.2</v>
      </c>
      <c r="O86" s="56">
        <v>168.49009564669103</v>
      </c>
      <c r="P86" s="98">
        <v>8394245.0655776076</v>
      </c>
      <c r="Q86">
        <v>11360</v>
      </c>
      <c r="R86" s="98">
        <v>3137091.9879244822</v>
      </c>
      <c r="S86">
        <v>1163</v>
      </c>
      <c r="T86" s="245">
        <f>+[14]Sheet1!D86</f>
        <v>9711545.1041381918</v>
      </c>
      <c r="U86" s="245">
        <f>+[14]Sheet1!I86</f>
        <v>24371.143861325294</v>
      </c>
      <c r="V86">
        <v>132</v>
      </c>
      <c r="W86" s="98">
        <v>96965.986070031489</v>
      </c>
      <c r="X86" s="98">
        <v>204.97</v>
      </c>
      <c r="Y86">
        <v>2939</v>
      </c>
      <c r="Z86" s="98">
        <v>8779.9446617689191</v>
      </c>
      <c r="AA86" s="98">
        <v>23.7</v>
      </c>
      <c r="AB86" s="98">
        <v>157</v>
      </c>
      <c r="AC86" s="98">
        <v>31278.265432687698</v>
      </c>
      <c r="AD86" s="98">
        <v>97</v>
      </c>
    </row>
    <row r="87" spans="1:30" x14ac:dyDescent="0.2">
      <c r="A87" s="3" t="str">
        <f t="shared" si="2"/>
        <v>20201</v>
      </c>
      <c r="B87" s="49">
        <f t="shared" si="3"/>
        <v>2020</v>
      </c>
      <c r="C87" s="52">
        <v>43861</v>
      </c>
      <c r="D87" s="53">
        <v>23214919.18</v>
      </c>
      <c r="E87" s="54">
        <v>605</v>
      </c>
      <c r="F87" s="54">
        <v>0</v>
      </c>
      <c r="G87" s="53">
        <v>31</v>
      </c>
      <c r="H87" s="53">
        <v>0</v>
      </c>
      <c r="I87" s="53">
        <v>352</v>
      </c>
      <c r="J87" s="53">
        <v>0</v>
      </c>
      <c r="K87" s="55">
        <v>36.5</v>
      </c>
      <c r="L87" s="53">
        <v>12654</v>
      </c>
      <c r="M87" s="53">
        <v>85</v>
      </c>
      <c r="N87" s="94">
        <v>765.1</v>
      </c>
      <c r="O87" s="56">
        <v>167.7567077806583</v>
      </c>
      <c r="P87" s="98">
        <v>8141323.1042641979</v>
      </c>
      <c r="Q87">
        <v>11360</v>
      </c>
      <c r="R87" s="98">
        <v>3375967.8590986226</v>
      </c>
      <c r="S87">
        <v>1169</v>
      </c>
      <c r="T87" s="245">
        <f>+[14]Sheet1!D87</f>
        <v>10993080.649995323</v>
      </c>
      <c r="U87" s="245">
        <f>+[14]Sheet1!I87</f>
        <v>23198.793388339363</v>
      </c>
      <c r="V87">
        <v>125</v>
      </c>
      <c r="W87" s="98">
        <v>94528.499189008682</v>
      </c>
      <c r="X87" s="98">
        <v>204.97</v>
      </c>
      <c r="Y87">
        <v>2939</v>
      </c>
      <c r="Z87" s="98">
        <v>8703.320293865092</v>
      </c>
      <c r="AA87" s="98">
        <v>23.7</v>
      </c>
      <c r="AB87" s="98">
        <v>157</v>
      </c>
      <c r="AC87" s="98">
        <v>31278.265432687698</v>
      </c>
      <c r="AD87" s="98">
        <v>97</v>
      </c>
    </row>
    <row r="88" spans="1:30" x14ac:dyDescent="0.2">
      <c r="A88" s="3" t="str">
        <f t="shared" si="2"/>
        <v>20202</v>
      </c>
      <c r="B88" s="49">
        <f t="shared" si="3"/>
        <v>2020</v>
      </c>
      <c r="C88" s="52">
        <v>43890</v>
      </c>
      <c r="D88" s="53">
        <v>21739398</v>
      </c>
      <c r="E88" s="54">
        <v>611.79999999999995</v>
      </c>
      <c r="F88" s="54">
        <v>0</v>
      </c>
      <c r="G88" s="53">
        <v>29</v>
      </c>
      <c r="H88" s="53">
        <v>0</v>
      </c>
      <c r="I88" s="53">
        <v>304</v>
      </c>
      <c r="J88" s="53">
        <v>0</v>
      </c>
      <c r="K88" s="55">
        <v>36.200000000000003</v>
      </c>
      <c r="L88" s="53">
        <v>12646</v>
      </c>
      <c r="M88" s="53">
        <v>86</v>
      </c>
      <c r="N88" s="94">
        <v>774</v>
      </c>
      <c r="O88" s="56">
        <v>167.02651213645905</v>
      </c>
      <c r="P88" s="98">
        <v>7629382.0518930862</v>
      </c>
      <c r="Q88">
        <v>11361</v>
      </c>
      <c r="R88" s="98">
        <v>3179620.9757838817</v>
      </c>
      <c r="S88">
        <v>1165</v>
      </c>
      <c r="T88" s="245">
        <f>+[14]Sheet1!D88</f>
        <v>10113206.731265051</v>
      </c>
      <c r="U88" s="245">
        <f>+[14]Sheet1!I88</f>
        <v>23154.172588670273</v>
      </c>
      <c r="V88">
        <v>120</v>
      </c>
      <c r="W88" s="98">
        <v>88741.818528766336</v>
      </c>
      <c r="X88" s="98">
        <v>204.97</v>
      </c>
      <c r="Y88">
        <v>2939</v>
      </c>
      <c r="Z88" s="98">
        <v>8141.7899055433654</v>
      </c>
      <c r="AA88" s="98">
        <v>23.5</v>
      </c>
      <c r="AB88" s="98">
        <v>158</v>
      </c>
      <c r="AC88" s="98">
        <v>31278.265432687698</v>
      </c>
      <c r="AD88" s="98">
        <v>97</v>
      </c>
    </row>
    <row r="89" spans="1:30" x14ac:dyDescent="0.2">
      <c r="A89" s="3" t="str">
        <f t="shared" si="2"/>
        <v>20203</v>
      </c>
      <c r="B89" s="49">
        <f t="shared" si="3"/>
        <v>2020</v>
      </c>
      <c r="C89" s="52">
        <v>43921</v>
      </c>
      <c r="D89" s="53">
        <v>21884530.75</v>
      </c>
      <c r="E89" s="54">
        <v>458.69999999999993</v>
      </c>
      <c r="F89" s="54">
        <v>0</v>
      </c>
      <c r="G89" s="53">
        <v>31</v>
      </c>
      <c r="H89" s="53">
        <v>1</v>
      </c>
      <c r="I89" s="53">
        <v>352</v>
      </c>
      <c r="J89" s="53">
        <v>0</v>
      </c>
      <c r="K89" s="55">
        <v>43.7</v>
      </c>
      <c r="L89" s="53">
        <v>12646</v>
      </c>
      <c r="M89" s="53">
        <v>87</v>
      </c>
      <c r="N89" s="94">
        <v>772.6</v>
      </c>
      <c r="O89" s="56">
        <v>166.29949481928981</v>
      </c>
      <c r="P89" s="98">
        <v>7656954.751418028</v>
      </c>
      <c r="Q89">
        <v>11361</v>
      </c>
      <c r="R89" s="98">
        <v>2965181.755606968</v>
      </c>
      <c r="S89">
        <v>1165</v>
      </c>
      <c r="T89" s="245">
        <f>+[14]Sheet1!D89</f>
        <v>10508268.964752026</v>
      </c>
      <c r="U89" s="245">
        <f>+[14]Sheet1!I89</f>
        <v>23138.154154862754</v>
      </c>
      <c r="V89">
        <v>120</v>
      </c>
      <c r="W89" s="98">
        <v>76278.914225741813</v>
      </c>
      <c r="X89" s="98">
        <v>203.39000000000001</v>
      </c>
      <c r="Y89">
        <v>2939</v>
      </c>
      <c r="Z89" s="98">
        <v>8703.320293865092</v>
      </c>
      <c r="AA89" s="98">
        <v>23.5</v>
      </c>
      <c r="AB89" s="98">
        <v>158</v>
      </c>
      <c r="AC89" s="98">
        <v>31278.265432687698</v>
      </c>
      <c r="AD89" s="98">
        <v>97</v>
      </c>
    </row>
    <row r="90" spans="1:30" x14ac:dyDescent="0.2">
      <c r="A90" s="3" t="str">
        <f t="shared" si="2"/>
        <v>20204</v>
      </c>
      <c r="B90" s="49">
        <f t="shared" si="3"/>
        <v>2020</v>
      </c>
      <c r="C90" s="52">
        <v>43951</v>
      </c>
      <c r="D90" s="53">
        <v>18977422.57</v>
      </c>
      <c r="E90" s="54">
        <v>362.2999999999999</v>
      </c>
      <c r="F90" s="54">
        <v>0</v>
      </c>
      <c r="G90" s="53">
        <v>30</v>
      </c>
      <c r="H90" s="53">
        <v>1</v>
      </c>
      <c r="I90" s="53">
        <v>336</v>
      </c>
      <c r="J90" s="53">
        <v>0</v>
      </c>
      <c r="K90" s="55">
        <v>62.2</v>
      </c>
      <c r="L90" s="53">
        <v>12651</v>
      </c>
      <c r="M90" s="53">
        <v>88</v>
      </c>
      <c r="N90" s="94">
        <v>735.9</v>
      </c>
      <c r="O90" s="56">
        <v>165.57564199482715</v>
      </c>
      <c r="P90" s="98">
        <v>7165813.3870439501</v>
      </c>
      <c r="Q90">
        <v>11368</v>
      </c>
      <c r="R90" s="98">
        <v>2365905.7490452761</v>
      </c>
      <c r="S90">
        <v>1164</v>
      </c>
      <c r="T90" s="245">
        <f>+[14]Sheet1!D90</f>
        <v>8690154.4633414745</v>
      </c>
      <c r="U90" s="245">
        <f>+[14]Sheet1!I90</f>
        <v>21135.231413293899</v>
      </c>
      <c r="V90">
        <v>119</v>
      </c>
      <c r="W90" s="98">
        <v>63606.869573513977</v>
      </c>
      <c r="X90" s="98">
        <v>203.39000000000001</v>
      </c>
      <c r="Y90">
        <v>2940</v>
      </c>
      <c r="Z90" s="98">
        <v>8422.621887224499</v>
      </c>
      <c r="AA90" s="98">
        <v>23.5</v>
      </c>
      <c r="AB90" s="98">
        <v>158</v>
      </c>
      <c r="AC90" s="98">
        <v>31278.265432687698</v>
      </c>
      <c r="AD90" s="98">
        <v>97</v>
      </c>
    </row>
    <row r="91" spans="1:30" x14ac:dyDescent="0.2">
      <c r="A91" s="3" t="str">
        <f t="shared" si="2"/>
        <v>20205</v>
      </c>
      <c r="B91" s="49">
        <f t="shared" si="3"/>
        <v>2020</v>
      </c>
      <c r="C91" s="52">
        <v>43982</v>
      </c>
      <c r="D91" s="53">
        <v>19969257.329999998</v>
      </c>
      <c r="E91" s="54">
        <v>208.09999999999997</v>
      </c>
      <c r="F91" s="54">
        <v>24.2</v>
      </c>
      <c r="G91" s="53">
        <v>31</v>
      </c>
      <c r="H91" s="53">
        <v>1</v>
      </c>
      <c r="I91" s="53">
        <v>320</v>
      </c>
      <c r="J91" s="53">
        <v>0</v>
      </c>
      <c r="K91" s="55">
        <v>83.7</v>
      </c>
      <c r="L91" s="53">
        <v>12656</v>
      </c>
      <c r="M91" s="53">
        <v>89</v>
      </c>
      <c r="N91" s="94">
        <v>694.4</v>
      </c>
      <c r="O91" s="56">
        <v>164.85493988896442</v>
      </c>
      <c r="P91" s="98">
        <v>7478082.7640611827</v>
      </c>
      <c r="Q91">
        <v>11371</v>
      </c>
      <c r="R91" s="98">
        <v>2371428.1870626095</v>
      </c>
      <c r="S91">
        <v>1165</v>
      </c>
      <c r="T91" s="245">
        <f>+[14]Sheet1!D91</f>
        <v>9397787.1060242336</v>
      </c>
      <c r="U91" s="245">
        <f>+[14]Sheet1!I91</f>
        <v>22514.892825830502</v>
      </c>
      <c r="V91">
        <v>120</v>
      </c>
      <c r="W91" s="98">
        <v>57358.877969659377</v>
      </c>
      <c r="X91" s="98">
        <v>203.39000000000001</v>
      </c>
      <c r="Y91">
        <v>2940</v>
      </c>
      <c r="Z91" s="98">
        <v>8703.320293865092</v>
      </c>
      <c r="AA91" s="98">
        <v>23.5</v>
      </c>
      <c r="AB91" s="98">
        <v>158</v>
      </c>
      <c r="AC91" s="98">
        <v>31278.265432687698</v>
      </c>
      <c r="AD91" s="98">
        <v>97</v>
      </c>
    </row>
    <row r="92" spans="1:30" x14ac:dyDescent="0.2">
      <c r="A92" s="3" t="str">
        <f t="shared" si="2"/>
        <v>20206</v>
      </c>
      <c r="B92" s="49">
        <f t="shared" si="3"/>
        <v>2020</v>
      </c>
      <c r="C92" s="52">
        <v>44012</v>
      </c>
      <c r="D92" s="53">
        <v>21668186.52</v>
      </c>
      <c r="E92" s="54">
        <v>23.799999999999997</v>
      </c>
      <c r="F92" s="54">
        <v>97.700000000000017</v>
      </c>
      <c r="G92" s="53">
        <v>30</v>
      </c>
      <c r="H92" s="53">
        <v>0</v>
      </c>
      <c r="I92" s="53">
        <v>352</v>
      </c>
      <c r="J92" s="53">
        <v>0</v>
      </c>
      <c r="K92" s="55">
        <v>92.9</v>
      </c>
      <c r="L92" s="53">
        <v>12660</v>
      </c>
      <c r="M92" s="53">
        <v>90</v>
      </c>
      <c r="N92" s="94">
        <v>680.6</v>
      </c>
      <c r="O92" s="56">
        <v>164.13737478754956</v>
      </c>
      <c r="P92" s="98">
        <v>8265859.9766483977</v>
      </c>
      <c r="Q92">
        <v>11374</v>
      </c>
      <c r="R92" s="98">
        <v>2556956.9305538703</v>
      </c>
      <c r="S92">
        <v>1165</v>
      </c>
      <c r="T92" s="245">
        <f>+[14]Sheet1!D92</f>
        <v>10148137.56413348</v>
      </c>
      <c r="U92" s="245">
        <f>+[14]Sheet1!I92</f>
        <v>23480.746321456147</v>
      </c>
      <c r="V92">
        <v>121</v>
      </c>
      <c r="W92" s="98">
        <v>49127.411506535631</v>
      </c>
      <c r="X92" s="98">
        <v>203.39000000000001</v>
      </c>
      <c r="Y92">
        <v>2940</v>
      </c>
      <c r="Z92" s="98">
        <v>8422.621887224499</v>
      </c>
      <c r="AA92" s="98">
        <v>23.5</v>
      </c>
      <c r="AB92" s="98">
        <v>158</v>
      </c>
      <c r="AC92" s="98">
        <v>31278.265432687698</v>
      </c>
      <c r="AD92" s="98">
        <v>97</v>
      </c>
    </row>
    <row r="93" spans="1:30" x14ac:dyDescent="0.2">
      <c r="A93" s="3" t="str">
        <f t="shared" si="2"/>
        <v>20207</v>
      </c>
      <c r="B93" s="49">
        <f t="shared" si="3"/>
        <v>2020</v>
      </c>
      <c r="C93" s="52">
        <v>44043</v>
      </c>
      <c r="D93" s="53">
        <v>25628770.52</v>
      </c>
      <c r="E93" s="54">
        <v>0</v>
      </c>
      <c r="F93" s="54">
        <v>215.7</v>
      </c>
      <c r="G93" s="53">
        <v>31</v>
      </c>
      <c r="H93" s="53">
        <v>0</v>
      </c>
      <c r="I93" s="53">
        <v>352</v>
      </c>
      <c r="J93" s="53">
        <v>0</v>
      </c>
      <c r="K93" s="55">
        <v>92.3</v>
      </c>
      <c r="L93" s="53">
        <v>12662</v>
      </c>
      <c r="M93" s="53">
        <v>91</v>
      </c>
      <c r="N93" s="94">
        <v>703.5</v>
      </c>
      <c r="O93" s="56">
        <v>163.42293303612416</v>
      </c>
      <c r="P93" s="98">
        <v>10672165.052790616</v>
      </c>
      <c r="Q93">
        <v>11375</v>
      </c>
      <c r="R93" s="98">
        <v>3070872.6126993438</v>
      </c>
      <c r="S93">
        <v>1165</v>
      </c>
      <c r="T93" s="245">
        <f>+[14]Sheet1!D93</f>
        <v>10941867.453241672</v>
      </c>
      <c r="U93" s="245">
        <f>+[14]Sheet1!I93</f>
        <v>24204.269734961563</v>
      </c>
      <c r="V93">
        <v>122</v>
      </c>
      <c r="W93" s="98">
        <v>51984.314473809747</v>
      </c>
      <c r="X93" s="98">
        <v>203.39000000000001</v>
      </c>
      <c r="Y93">
        <v>2939</v>
      </c>
      <c r="Z93" s="98">
        <v>8703.320293865092</v>
      </c>
      <c r="AA93" s="98">
        <v>23.5</v>
      </c>
      <c r="AB93" s="98">
        <v>155</v>
      </c>
      <c r="AC93" s="98">
        <v>31278.265432687698</v>
      </c>
      <c r="AD93" s="98">
        <v>97</v>
      </c>
    </row>
    <row r="94" spans="1:30" x14ac:dyDescent="0.2">
      <c r="A94" s="3" t="str">
        <f t="shared" si="2"/>
        <v>20208</v>
      </c>
      <c r="B94" s="49">
        <f t="shared" si="3"/>
        <v>2020</v>
      </c>
      <c r="C94" s="52">
        <v>44074</v>
      </c>
      <c r="D94" s="53">
        <v>23467038.809999999</v>
      </c>
      <c r="E94" s="54">
        <v>0.8</v>
      </c>
      <c r="F94" s="54">
        <v>126.69999999999999</v>
      </c>
      <c r="G94" s="53">
        <v>31</v>
      </c>
      <c r="H94" s="53">
        <v>0</v>
      </c>
      <c r="I94" s="53">
        <v>336</v>
      </c>
      <c r="J94" s="53">
        <v>0</v>
      </c>
      <c r="K94" s="55">
        <v>87.6</v>
      </c>
      <c r="L94" s="53">
        <v>12675</v>
      </c>
      <c r="M94" s="53">
        <v>92</v>
      </c>
      <c r="N94" s="94">
        <v>722.1</v>
      </c>
      <c r="O94" s="56">
        <v>162.71160103966372</v>
      </c>
      <c r="P94" s="98">
        <v>8970091.1979721319</v>
      </c>
      <c r="Q94">
        <v>11389</v>
      </c>
      <c r="R94" s="98">
        <v>2843059.0336475605</v>
      </c>
      <c r="S94">
        <v>1164</v>
      </c>
      <c r="T94" s="245">
        <f>+[14]Sheet1!D94</f>
        <v>10964944.094019465</v>
      </c>
      <c r="U94" s="245">
        <f>+[14]Sheet1!I94</f>
        <v>24677.050310747334</v>
      </c>
      <c r="V94">
        <v>122</v>
      </c>
      <c r="W94" s="98">
        <v>62515.876347676749</v>
      </c>
      <c r="X94" s="98">
        <v>203.39000000000001</v>
      </c>
      <c r="Y94">
        <v>2940</v>
      </c>
      <c r="Z94" s="98">
        <v>8703.320293865092</v>
      </c>
      <c r="AA94" s="98">
        <v>23.5</v>
      </c>
      <c r="AB94" s="98">
        <v>158</v>
      </c>
      <c r="AC94" s="98">
        <v>31278.265432687698</v>
      </c>
      <c r="AD94" s="98">
        <v>97</v>
      </c>
    </row>
    <row r="95" spans="1:30" x14ac:dyDescent="0.2">
      <c r="A95" s="3" t="str">
        <f t="shared" si="2"/>
        <v>20209</v>
      </c>
      <c r="B95" s="49">
        <f t="shared" si="3"/>
        <v>2020</v>
      </c>
      <c r="C95" s="52">
        <v>44104</v>
      </c>
      <c r="D95" s="53">
        <v>20269648.150000002</v>
      </c>
      <c r="E95" s="54">
        <v>69.100000000000009</v>
      </c>
      <c r="F95" s="54">
        <v>33.300000000000004</v>
      </c>
      <c r="G95" s="53">
        <v>30</v>
      </c>
      <c r="H95" s="53">
        <v>1</v>
      </c>
      <c r="I95" s="53">
        <v>336</v>
      </c>
      <c r="J95" s="53">
        <v>0</v>
      </c>
      <c r="K95" s="55">
        <v>81.8</v>
      </c>
      <c r="L95" s="53">
        <v>12686</v>
      </c>
      <c r="M95" s="53">
        <v>93</v>
      </c>
      <c r="N95" s="94">
        <v>726.3</v>
      </c>
      <c r="O95" s="56">
        <v>162.00336526231885</v>
      </c>
      <c r="P95" s="98">
        <v>6596130.3819353767</v>
      </c>
      <c r="Q95">
        <v>11403</v>
      </c>
      <c r="R95" s="98">
        <v>2483009.5022983067</v>
      </c>
      <c r="S95">
        <v>1159</v>
      </c>
      <c r="T95" s="245">
        <f>+[14]Sheet1!D95</f>
        <v>10448570.695806602</v>
      </c>
      <c r="U95" s="245">
        <f>+[14]Sheet1!I95</f>
        <v>23721.177039945582</v>
      </c>
      <c r="V95">
        <v>124</v>
      </c>
      <c r="W95" s="98">
        <v>69123.118023089395</v>
      </c>
      <c r="X95" s="98">
        <v>203.39000000000001</v>
      </c>
      <c r="Y95">
        <v>2940</v>
      </c>
      <c r="Z95" s="98">
        <v>8422.621887224499</v>
      </c>
      <c r="AA95" s="98">
        <v>23.5</v>
      </c>
      <c r="AB95" s="98">
        <v>158</v>
      </c>
      <c r="AC95" s="98">
        <v>31278.265432687698</v>
      </c>
      <c r="AD95" s="98">
        <v>97</v>
      </c>
    </row>
    <row r="96" spans="1:30" x14ac:dyDescent="0.2">
      <c r="A96" s="3" t="str">
        <f t="shared" si="2"/>
        <v>202010</v>
      </c>
      <c r="B96" s="49">
        <f t="shared" si="3"/>
        <v>2020</v>
      </c>
      <c r="C96" s="52">
        <v>44135</v>
      </c>
      <c r="D96" s="53">
        <v>21294106.91</v>
      </c>
      <c r="E96" s="54">
        <v>270.3</v>
      </c>
      <c r="F96" s="54">
        <v>0</v>
      </c>
      <c r="G96" s="53">
        <v>31</v>
      </c>
      <c r="H96" s="53">
        <v>1</v>
      </c>
      <c r="I96" s="53">
        <v>336</v>
      </c>
      <c r="J96" s="53">
        <v>0</v>
      </c>
      <c r="K96" s="55">
        <v>72.400000000000006</v>
      </c>
      <c r="L96" s="53">
        <v>12689</v>
      </c>
      <c r="M96" s="53">
        <v>94</v>
      </c>
      <c r="N96" s="94">
        <v>732.2</v>
      </c>
      <c r="O96" s="56">
        <v>161.29821222715773</v>
      </c>
      <c r="P96" s="98">
        <v>6918210.3392725149</v>
      </c>
      <c r="Q96">
        <v>11406</v>
      </c>
      <c r="R96" s="98">
        <v>2592378.6203321288</v>
      </c>
      <c r="S96">
        <v>1159</v>
      </c>
      <c r="T96" s="245">
        <f>+[14]Sheet1!D96</f>
        <v>11125254.805794582</v>
      </c>
      <c r="U96" s="245">
        <f>+[14]Sheet1!I96</f>
        <v>23633.09582716407</v>
      </c>
      <c r="V96">
        <v>124</v>
      </c>
      <c r="W96" s="98">
        <v>81458.467703463422</v>
      </c>
      <c r="X96" s="98">
        <v>203.39000000000001</v>
      </c>
      <c r="Y96">
        <v>2950</v>
      </c>
      <c r="Z96" s="98">
        <v>8703.320293865092</v>
      </c>
      <c r="AA96" s="98">
        <v>23.2</v>
      </c>
      <c r="AB96" s="98">
        <v>158</v>
      </c>
      <c r="AC96" s="98">
        <v>31278.265432687698</v>
      </c>
      <c r="AD96" s="98">
        <v>97</v>
      </c>
    </row>
    <row r="97" spans="1:30" x14ac:dyDescent="0.2">
      <c r="A97" s="3" t="str">
        <f t="shared" si="2"/>
        <v>202011</v>
      </c>
      <c r="B97" s="49">
        <f t="shared" si="3"/>
        <v>2020</v>
      </c>
      <c r="C97" s="52">
        <v>44165</v>
      </c>
      <c r="D97" s="53">
        <v>21744994.359999999</v>
      </c>
      <c r="E97" s="54">
        <v>334.79999999999995</v>
      </c>
      <c r="F97" s="54">
        <v>0</v>
      </c>
      <c r="G97" s="53">
        <v>30</v>
      </c>
      <c r="H97" s="53">
        <v>1</v>
      </c>
      <c r="I97" s="53">
        <v>336</v>
      </c>
      <c r="J97" s="53">
        <v>0</v>
      </c>
      <c r="K97" s="55">
        <v>62.7</v>
      </c>
      <c r="L97" s="53">
        <v>12692</v>
      </c>
      <c r="M97" s="53">
        <v>95</v>
      </c>
      <c r="N97" s="94">
        <v>740</v>
      </c>
      <c r="O97" s="56">
        <v>160.59612851590967</v>
      </c>
      <c r="P97" s="98">
        <v>7210226.2281798469</v>
      </c>
      <c r="Q97">
        <v>11406</v>
      </c>
      <c r="R97" s="98">
        <v>2740358.5511899274</v>
      </c>
      <c r="S97">
        <v>1162</v>
      </c>
      <c r="T97" s="245">
        <f>+[14]Sheet1!D97</f>
        <v>10998113.76450205</v>
      </c>
      <c r="U97" s="245">
        <f>+[14]Sheet1!I97</f>
        <v>24182.802128244781</v>
      </c>
      <c r="V97">
        <v>124</v>
      </c>
      <c r="W97" s="98">
        <v>90266.85430779506</v>
      </c>
      <c r="X97" s="98">
        <v>204.43</v>
      </c>
      <c r="Y97">
        <v>2962</v>
      </c>
      <c r="Z97" s="98">
        <v>8422.6218872244972</v>
      </c>
      <c r="AA97" s="98">
        <v>23.8</v>
      </c>
      <c r="AB97" s="98">
        <v>158</v>
      </c>
      <c r="AC97" s="98">
        <v>31278.265432687698</v>
      </c>
      <c r="AD97" s="98">
        <v>97</v>
      </c>
    </row>
    <row r="98" spans="1:30" x14ac:dyDescent="0.2">
      <c r="A98" s="3" t="str">
        <f t="shared" si="2"/>
        <v>202012</v>
      </c>
      <c r="B98" s="49">
        <f t="shared" si="3"/>
        <v>2020</v>
      </c>
      <c r="C98" s="52">
        <v>44196</v>
      </c>
      <c r="D98" s="53">
        <v>23632657.099999998</v>
      </c>
      <c r="E98" s="54">
        <v>567.29999999999995</v>
      </c>
      <c r="F98" s="54">
        <v>0</v>
      </c>
      <c r="G98" s="53">
        <v>31</v>
      </c>
      <c r="H98" s="53">
        <v>0</v>
      </c>
      <c r="I98" s="53">
        <v>336</v>
      </c>
      <c r="J98" s="53">
        <v>0</v>
      </c>
      <c r="K98" s="55">
        <v>60.3</v>
      </c>
      <c r="L98" s="53">
        <v>12697</v>
      </c>
      <c r="M98" s="53">
        <v>96</v>
      </c>
      <c r="N98" s="94">
        <v>746.5</v>
      </c>
      <c r="O98" s="56">
        <v>159.89710076870981</v>
      </c>
      <c r="P98" s="98">
        <v>8882828.7489523403</v>
      </c>
      <c r="Q98">
        <v>11409</v>
      </c>
      <c r="R98" s="98">
        <v>3084866.1869351207</v>
      </c>
      <c r="S98">
        <v>1164</v>
      </c>
      <c r="T98" s="245">
        <f>+[14]Sheet1!D98</f>
        <v>10832459.590296894</v>
      </c>
      <c r="U98" s="245">
        <f>+[14]Sheet1!I98</f>
        <v>24130.813574563887</v>
      </c>
      <c r="V98">
        <v>124</v>
      </c>
      <c r="W98" s="98">
        <v>96699.627898101331</v>
      </c>
      <c r="X98" s="98">
        <v>204.43</v>
      </c>
      <c r="Y98">
        <v>2962</v>
      </c>
      <c r="Z98" s="98">
        <v>8703.320293865092</v>
      </c>
      <c r="AA98" s="98">
        <v>23.5</v>
      </c>
      <c r="AB98" s="98">
        <v>158</v>
      </c>
      <c r="AC98" s="98">
        <v>31278.265432687698</v>
      </c>
      <c r="AD98" s="98">
        <v>97</v>
      </c>
    </row>
    <row r="99" spans="1:30" x14ac:dyDescent="0.2">
      <c r="A99" s="3" t="str">
        <f t="shared" si="2"/>
        <v>20211</v>
      </c>
      <c r="B99" s="49">
        <f t="shared" si="3"/>
        <v>2021</v>
      </c>
      <c r="C99" s="52">
        <v>44227</v>
      </c>
      <c r="D99" s="53">
        <v>23541928.949999999</v>
      </c>
      <c r="E99" s="54">
        <v>642.64999999999986</v>
      </c>
      <c r="F99" s="54">
        <v>0</v>
      </c>
      <c r="G99" s="53">
        <v>31</v>
      </c>
      <c r="H99" s="53">
        <v>0</v>
      </c>
      <c r="I99" s="53">
        <v>320</v>
      </c>
      <c r="J99" s="53">
        <v>0</v>
      </c>
      <c r="K99" s="55">
        <v>69.099999999999994</v>
      </c>
      <c r="L99" s="53">
        <v>12730</v>
      </c>
      <c r="M99" s="53">
        <v>97</v>
      </c>
      <c r="N99" s="94">
        <v>729.6</v>
      </c>
      <c r="O99" s="56">
        <v>160.45907401322623</v>
      </c>
      <c r="P99" s="98">
        <v>8894436.9961517211</v>
      </c>
      <c r="Q99">
        <v>11444</v>
      </c>
      <c r="R99" s="98">
        <v>3048798.9040485932</v>
      </c>
      <c r="S99">
        <v>1162</v>
      </c>
      <c r="T99" s="98">
        <v>10729367.215278441</v>
      </c>
      <c r="U99" s="98">
        <v>23463.84</v>
      </c>
      <c r="V99">
        <v>124</v>
      </c>
      <c r="W99" s="98">
        <v>94293.359412269812</v>
      </c>
      <c r="X99" s="98">
        <v>204.43</v>
      </c>
      <c r="Y99">
        <v>2962</v>
      </c>
      <c r="Z99" s="98">
        <v>8703.3202938650902</v>
      </c>
      <c r="AA99" s="98">
        <v>23.5</v>
      </c>
      <c r="AB99" s="98">
        <v>158</v>
      </c>
      <c r="AC99" s="98">
        <v>31278.265432687705</v>
      </c>
      <c r="AD99" s="98">
        <v>98</v>
      </c>
    </row>
    <row r="100" spans="1:30" x14ac:dyDescent="0.2">
      <c r="A100" s="3" t="str">
        <f t="shared" si="2"/>
        <v>20212</v>
      </c>
      <c r="B100" s="49">
        <f t="shared" si="3"/>
        <v>2021</v>
      </c>
      <c r="C100" s="52">
        <v>44255</v>
      </c>
      <c r="D100" s="53">
        <v>22305481.220000003</v>
      </c>
      <c r="E100" s="54">
        <v>653</v>
      </c>
      <c r="F100" s="54">
        <v>0</v>
      </c>
      <c r="G100" s="53">
        <v>28</v>
      </c>
      <c r="H100" s="53">
        <v>0</v>
      </c>
      <c r="I100" s="53">
        <v>304</v>
      </c>
      <c r="J100" s="53">
        <v>0</v>
      </c>
      <c r="K100" s="55">
        <v>76.5</v>
      </c>
      <c r="L100" s="53">
        <v>12738</v>
      </c>
      <c r="M100" s="53">
        <v>98</v>
      </c>
      <c r="N100" s="94">
        <v>721.1</v>
      </c>
      <c r="O100" s="56">
        <v>161.02302236502123</v>
      </c>
      <c r="P100" s="98">
        <v>8225098.6006424166</v>
      </c>
      <c r="Q100">
        <v>11447</v>
      </c>
      <c r="R100" s="98">
        <v>2932401.507489745</v>
      </c>
      <c r="S100">
        <v>1165</v>
      </c>
      <c r="T100" s="98">
        <v>10313448.016410649</v>
      </c>
      <c r="U100" s="98">
        <v>23811.390000000003</v>
      </c>
      <c r="V100">
        <v>126</v>
      </c>
      <c r="W100" s="98">
        <v>84887.463028336992</v>
      </c>
      <c r="X100" s="98">
        <v>204.43</v>
      </c>
      <c r="Y100">
        <v>2962</v>
      </c>
      <c r="Z100" s="98">
        <v>7861.0914989027751</v>
      </c>
      <c r="AA100" s="98">
        <v>23.5</v>
      </c>
      <c r="AB100" s="98">
        <v>158</v>
      </c>
      <c r="AC100" s="98">
        <v>31278.265432687705</v>
      </c>
      <c r="AD100" s="98">
        <v>98</v>
      </c>
    </row>
    <row r="101" spans="1:30" x14ac:dyDescent="0.2">
      <c r="A101" s="3" t="str">
        <f t="shared" si="2"/>
        <v>20213</v>
      </c>
      <c r="B101" s="49">
        <f t="shared" si="3"/>
        <v>2021</v>
      </c>
      <c r="C101" s="52">
        <v>44286</v>
      </c>
      <c r="D101" s="53">
        <v>23069807.16</v>
      </c>
      <c r="E101" s="54">
        <v>460.70000000000005</v>
      </c>
      <c r="F101" s="54">
        <v>0</v>
      </c>
      <c r="G101" s="53">
        <v>31</v>
      </c>
      <c r="H101" s="53">
        <v>1</v>
      </c>
      <c r="I101" s="53">
        <v>368</v>
      </c>
      <c r="J101" s="53">
        <v>0</v>
      </c>
      <c r="K101" s="55">
        <v>76.400000000000006</v>
      </c>
      <c r="L101" s="53">
        <v>12742</v>
      </c>
      <c r="M101" s="53">
        <v>99</v>
      </c>
      <c r="N101" s="94">
        <v>725.2</v>
      </c>
      <c r="O101" s="56">
        <v>161.58895276579321</v>
      </c>
      <c r="P101" s="98">
        <v>7769912.3957637604</v>
      </c>
      <c r="Q101">
        <v>11451</v>
      </c>
      <c r="R101" s="98">
        <v>3006411.0676462171</v>
      </c>
      <c r="S101">
        <v>1164</v>
      </c>
      <c r="T101" s="98">
        <v>11481981.605444774</v>
      </c>
      <c r="U101" s="98">
        <v>24653.66</v>
      </c>
      <c r="V101">
        <v>127</v>
      </c>
      <c r="W101" s="98">
        <v>75699.732849918903</v>
      </c>
      <c r="X101" s="98">
        <v>200.65</v>
      </c>
      <c r="Y101">
        <v>2962</v>
      </c>
      <c r="Z101" s="98">
        <v>8703.3202938650902</v>
      </c>
      <c r="AA101" s="98">
        <v>23.5</v>
      </c>
      <c r="AB101" s="98">
        <v>158</v>
      </c>
      <c r="AC101" s="98">
        <v>31278.265432687705</v>
      </c>
      <c r="AD101" s="98">
        <v>98</v>
      </c>
    </row>
    <row r="102" spans="1:30" x14ac:dyDescent="0.2">
      <c r="A102" s="3" t="str">
        <f t="shared" si="2"/>
        <v>20214</v>
      </c>
      <c r="B102" s="49">
        <f t="shared" si="3"/>
        <v>2021</v>
      </c>
      <c r="C102" s="52">
        <v>44316</v>
      </c>
      <c r="D102" s="53">
        <v>20252923.879999999</v>
      </c>
      <c r="E102" s="54">
        <v>302.39999999999998</v>
      </c>
      <c r="F102" s="54">
        <v>0</v>
      </c>
      <c r="G102" s="53">
        <v>30</v>
      </c>
      <c r="H102" s="53">
        <v>1</v>
      </c>
      <c r="I102" s="53">
        <v>336</v>
      </c>
      <c r="J102" s="53">
        <v>0</v>
      </c>
      <c r="K102" s="55">
        <v>70.900000000000006</v>
      </c>
      <c r="L102" s="53">
        <v>12754</v>
      </c>
      <c r="M102" s="53">
        <v>100</v>
      </c>
      <c r="N102" s="94">
        <v>742.7</v>
      </c>
      <c r="O102" s="56">
        <v>162.15687218163777</v>
      </c>
      <c r="P102" s="98">
        <v>6836007.7091880394</v>
      </c>
      <c r="Q102">
        <v>11461</v>
      </c>
      <c r="R102" s="98">
        <v>2455172.0732754515</v>
      </c>
      <c r="S102">
        <v>1166</v>
      </c>
      <c r="T102" s="98">
        <v>10497505.419330221</v>
      </c>
      <c r="U102" s="98">
        <v>24775.679999999993</v>
      </c>
      <c r="V102">
        <v>127</v>
      </c>
      <c r="W102" s="98">
        <v>62787.892376681615</v>
      </c>
      <c r="X102" s="98">
        <v>200.65</v>
      </c>
      <c r="Y102">
        <v>2963</v>
      </c>
      <c r="Z102" s="98">
        <v>8422.6218872245008</v>
      </c>
      <c r="AA102" s="98">
        <v>23.5</v>
      </c>
      <c r="AB102" s="98">
        <v>158</v>
      </c>
      <c r="AC102" s="98">
        <v>31278.265432687705</v>
      </c>
      <c r="AD102" s="98">
        <v>98</v>
      </c>
    </row>
    <row r="103" spans="1:30" x14ac:dyDescent="0.2">
      <c r="A103" s="3" t="str">
        <f t="shared" si="2"/>
        <v>20215</v>
      </c>
      <c r="B103" s="49">
        <f t="shared" si="3"/>
        <v>2021</v>
      </c>
      <c r="C103" s="52">
        <v>44347</v>
      </c>
      <c r="D103" s="53">
        <v>20759754.799999997</v>
      </c>
      <c r="E103" s="54">
        <v>164.2</v>
      </c>
      <c r="F103" s="54">
        <v>27.9</v>
      </c>
      <c r="G103" s="53">
        <v>31</v>
      </c>
      <c r="H103" s="53">
        <v>1</v>
      </c>
      <c r="I103" s="53">
        <v>320</v>
      </c>
      <c r="J103" s="53">
        <v>0</v>
      </c>
      <c r="K103" s="55">
        <v>65.099999999999994</v>
      </c>
      <c r="L103" s="53">
        <v>12759</v>
      </c>
      <c r="M103" s="53">
        <v>101</v>
      </c>
      <c r="N103" s="94">
        <v>755.4</v>
      </c>
      <c r="O103" s="56">
        <v>162.72678760313354</v>
      </c>
      <c r="P103" s="98">
        <v>7140557.738129315</v>
      </c>
      <c r="Q103">
        <v>11466</v>
      </c>
      <c r="R103" s="98">
        <v>2456459.9402092667</v>
      </c>
      <c r="S103">
        <v>1167</v>
      </c>
      <c r="T103" s="98">
        <v>10220394.684667496</v>
      </c>
      <c r="U103" s="98">
        <v>23840.209999999995</v>
      </c>
      <c r="V103">
        <v>126</v>
      </c>
      <c r="W103" s="98">
        <v>56627.964888846487</v>
      </c>
      <c r="X103" s="98">
        <v>200.65</v>
      </c>
      <c r="Y103">
        <v>2963</v>
      </c>
      <c r="Z103" s="98">
        <v>8703.3202938650884</v>
      </c>
      <c r="AA103" s="98">
        <v>23.5</v>
      </c>
      <c r="AB103" s="98">
        <v>158</v>
      </c>
      <c r="AC103" s="98">
        <v>31278.265432687705</v>
      </c>
      <c r="AD103" s="98">
        <v>98</v>
      </c>
    </row>
    <row r="104" spans="1:30" x14ac:dyDescent="0.2">
      <c r="A104" s="3" t="str">
        <f t="shared" si="2"/>
        <v>20216</v>
      </c>
      <c r="B104" s="49">
        <f t="shared" si="3"/>
        <v>2021</v>
      </c>
      <c r="C104" s="52">
        <v>44377</v>
      </c>
      <c r="D104" s="53">
        <v>22743690.300000001</v>
      </c>
      <c r="E104" s="54">
        <v>7.0000000000000009</v>
      </c>
      <c r="F104" s="54">
        <v>121.99999999999999</v>
      </c>
      <c r="G104" s="53">
        <v>30</v>
      </c>
      <c r="H104" s="53">
        <v>0</v>
      </c>
      <c r="I104" s="53">
        <v>352</v>
      </c>
      <c r="J104" s="53">
        <v>0</v>
      </c>
      <c r="K104" s="55">
        <v>62.2</v>
      </c>
      <c r="L104" s="53">
        <v>12760</v>
      </c>
      <c r="M104" s="53">
        <v>102</v>
      </c>
      <c r="N104" s="94">
        <v>761.8</v>
      </c>
      <c r="O104" s="56">
        <v>163.29870604542819</v>
      </c>
      <c r="P104" s="98">
        <v>8469368.4572082646</v>
      </c>
      <c r="Q104">
        <v>11466</v>
      </c>
      <c r="R104" s="98">
        <v>2676268.3236332368</v>
      </c>
      <c r="S104">
        <v>1167</v>
      </c>
      <c r="T104" s="98">
        <v>10781930.531437844</v>
      </c>
      <c r="U104" s="98">
        <v>25700.300000000007</v>
      </c>
      <c r="V104">
        <v>127</v>
      </c>
      <c r="W104" s="98">
        <v>48486.96689247209</v>
      </c>
      <c r="X104" s="98">
        <v>200.65</v>
      </c>
      <c r="Y104">
        <v>2963</v>
      </c>
      <c r="Z104" s="98">
        <v>8590.0200362560809</v>
      </c>
      <c r="AA104" s="98">
        <v>23.5</v>
      </c>
      <c r="AB104" s="98">
        <v>158</v>
      </c>
      <c r="AC104" s="98">
        <v>31278.265432687713</v>
      </c>
      <c r="AD104" s="98">
        <v>98</v>
      </c>
    </row>
    <row r="105" spans="1:30" x14ac:dyDescent="0.2">
      <c r="A105" s="3" t="str">
        <f t="shared" si="2"/>
        <v>20217</v>
      </c>
      <c r="B105" s="49">
        <f t="shared" si="3"/>
        <v>2021</v>
      </c>
      <c r="C105" s="52">
        <v>44408</v>
      </c>
      <c r="D105" s="53">
        <v>23381044.989999998</v>
      </c>
      <c r="E105" s="54">
        <v>4.4000000000000004</v>
      </c>
      <c r="F105" s="54">
        <v>105.75000000000001</v>
      </c>
      <c r="G105" s="53">
        <v>31</v>
      </c>
      <c r="H105" s="53">
        <v>0</v>
      </c>
      <c r="I105" s="53">
        <v>336</v>
      </c>
      <c r="J105" s="53">
        <v>0</v>
      </c>
      <c r="K105" s="55">
        <v>56.6</v>
      </c>
      <c r="L105" s="53">
        <v>12772</v>
      </c>
      <c r="M105" s="53">
        <v>103</v>
      </c>
      <c r="N105" s="94">
        <v>773.2</v>
      </c>
      <c r="O105" s="56">
        <v>163.87263454832475</v>
      </c>
      <c r="P105" s="98">
        <v>8526770.3180358242</v>
      </c>
      <c r="Q105">
        <v>11477</v>
      </c>
      <c r="R105" s="98">
        <v>2846220.9601501119</v>
      </c>
      <c r="S105">
        <v>1169</v>
      </c>
      <c r="T105" s="98">
        <v>11259842.816525137</v>
      </c>
      <c r="U105" s="98">
        <v>25649.360000000001</v>
      </c>
      <c r="V105">
        <v>126</v>
      </c>
      <c r="W105" s="98">
        <v>51306.039500047707</v>
      </c>
      <c r="X105" s="98">
        <v>200.65</v>
      </c>
      <c r="Y105">
        <v>2963</v>
      </c>
      <c r="Z105" s="98">
        <v>8535.9221448335084</v>
      </c>
      <c r="AA105" s="98">
        <v>23.5</v>
      </c>
      <c r="AB105" s="98">
        <v>158</v>
      </c>
      <c r="AC105" s="98">
        <v>31278.265432687698</v>
      </c>
      <c r="AD105" s="98">
        <v>98</v>
      </c>
    </row>
    <row r="106" spans="1:30" x14ac:dyDescent="0.2">
      <c r="A106" s="3" t="str">
        <f t="shared" si="2"/>
        <v>20218</v>
      </c>
      <c r="B106" s="49">
        <f t="shared" si="3"/>
        <v>2021</v>
      </c>
      <c r="C106" s="52">
        <v>44439</v>
      </c>
      <c r="D106" s="53">
        <v>25116099.290000003</v>
      </c>
      <c r="E106" s="54">
        <v>0.85</v>
      </c>
      <c r="F106" s="54">
        <v>179</v>
      </c>
      <c r="G106" s="53">
        <v>31</v>
      </c>
      <c r="H106" s="53">
        <v>0</v>
      </c>
      <c r="I106" s="53">
        <v>352</v>
      </c>
      <c r="J106" s="53">
        <v>0</v>
      </c>
      <c r="K106" s="55">
        <v>55.1</v>
      </c>
      <c r="L106" s="53">
        <v>12771</v>
      </c>
      <c r="M106" s="53">
        <v>104</v>
      </c>
      <c r="N106" s="94">
        <v>777.9</v>
      </c>
      <c r="O106" s="56">
        <v>164.4485801763683</v>
      </c>
      <c r="P106" s="98">
        <v>9788458.016092604</v>
      </c>
      <c r="Q106">
        <v>11477</v>
      </c>
      <c r="R106" s="98">
        <v>3091842.1963553098</v>
      </c>
      <c r="S106">
        <v>1168</v>
      </c>
      <c r="T106" s="98">
        <v>11426431.948287375</v>
      </c>
      <c r="U106" s="98">
        <v>26782.6</v>
      </c>
      <c r="V106">
        <v>126</v>
      </c>
      <c r="W106" s="98">
        <v>61664.936551855739</v>
      </c>
      <c r="X106" s="98">
        <v>200.65</v>
      </c>
      <c r="Y106">
        <v>2963</v>
      </c>
      <c r="Z106" s="98">
        <v>8737.5155042457791</v>
      </c>
      <c r="AA106" s="98">
        <v>23.5</v>
      </c>
      <c r="AB106" s="98">
        <v>158</v>
      </c>
      <c r="AC106" s="98">
        <v>31278.265432687705</v>
      </c>
      <c r="AD106" s="98">
        <v>98</v>
      </c>
    </row>
    <row r="107" spans="1:30" x14ac:dyDescent="0.2">
      <c r="A107" s="3" t="str">
        <f t="shared" si="2"/>
        <v>20219</v>
      </c>
      <c r="B107" s="49">
        <f t="shared" si="3"/>
        <v>2021</v>
      </c>
      <c r="C107" s="52">
        <v>44469</v>
      </c>
      <c r="D107" s="53">
        <v>20640267.599999998</v>
      </c>
      <c r="E107" s="54">
        <v>35.6</v>
      </c>
      <c r="F107" s="54">
        <v>24.900000000000002</v>
      </c>
      <c r="G107" s="53">
        <v>30</v>
      </c>
      <c r="H107" s="53">
        <v>1</v>
      </c>
      <c r="I107" s="53">
        <v>336</v>
      </c>
      <c r="J107" s="53">
        <v>0</v>
      </c>
      <c r="K107" s="55">
        <v>53.5</v>
      </c>
      <c r="L107" s="53">
        <v>12780</v>
      </c>
      <c r="M107" s="53">
        <v>105</v>
      </c>
      <c r="N107" s="94">
        <v>778.6</v>
      </c>
      <c r="O107" s="56">
        <v>165.02655001893294</v>
      </c>
      <c r="P107" s="98">
        <v>6635372.5789524065</v>
      </c>
      <c r="Q107">
        <v>11484</v>
      </c>
      <c r="R107" s="98">
        <v>2540398.5211334783</v>
      </c>
      <c r="S107">
        <v>1170</v>
      </c>
      <c r="T107" s="98">
        <v>10720316.582387174</v>
      </c>
      <c r="U107" s="98">
        <v>26113.09</v>
      </c>
      <c r="V107">
        <v>126</v>
      </c>
      <c r="W107" s="98">
        <v>68176.042362370004</v>
      </c>
      <c r="X107" s="98">
        <v>200.65</v>
      </c>
      <c r="Y107">
        <v>2963</v>
      </c>
      <c r="Z107" s="98">
        <v>8388.4171357694868</v>
      </c>
      <c r="AA107" s="98">
        <v>23.5</v>
      </c>
      <c r="AB107" s="98">
        <v>158</v>
      </c>
      <c r="AC107" s="98">
        <v>31278.265432687705</v>
      </c>
      <c r="AD107" s="98">
        <v>98</v>
      </c>
    </row>
    <row r="108" spans="1:30" x14ac:dyDescent="0.2">
      <c r="A108" s="3" t="str">
        <f t="shared" si="2"/>
        <v>202110</v>
      </c>
      <c r="B108" s="49">
        <f t="shared" si="3"/>
        <v>2021</v>
      </c>
      <c r="C108" s="52">
        <v>44500</v>
      </c>
      <c r="D108" s="53">
        <v>21195541.040000003</v>
      </c>
      <c r="E108" s="54">
        <v>145.19999999999999</v>
      </c>
      <c r="F108" s="54">
        <v>5.6000000000000005</v>
      </c>
      <c r="G108" s="53">
        <v>31</v>
      </c>
      <c r="H108" s="53">
        <v>1</v>
      </c>
      <c r="I108" s="53">
        <v>320</v>
      </c>
      <c r="J108" s="53">
        <v>0</v>
      </c>
      <c r="K108" s="55">
        <v>51</v>
      </c>
      <c r="L108" s="53">
        <v>12780</v>
      </c>
      <c r="M108" s="53">
        <v>106</v>
      </c>
      <c r="N108" s="94">
        <v>780.9</v>
      </c>
      <c r="O108" s="56">
        <v>165.60655119030903</v>
      </c>
      <c r="P108" s="98">
        <v>6765497.5886524776</v>
      </c>
      <c r="Q108">
        <v>11484</v>
      </c>
      <c r="R108" s="98">
        <v>2556312.1193906451</v>
      </c>
      <c r="S108">
        <v>1169</v>
      </c>
      <c r="T108" s="98">
        <v>11157034.792163603</v>
      </c>
      <c r="U108" s="98">
        <v>25741.740000000013</v>
      </c>
      <c r="V108">
        <v>127</v>
      </c>
      <c r="W108" s="98">
        <v>80340.349203320293</v>
      </c>
      <c r="X108" s="98">
        <v>200.65</v>
      </c>
      <c r="Y108">
        <v>2963</v>
      </c>
      <c r="Z108" s="98">
        <v>8703.3202938650902</v>
      </c>
      <c r="AA108" s="98">
        <v>23.5</v>
      </c>
      <c r="AB108" s="98">
        <v>158</v>
      </c>
      <c r="AC108" s="98">
        <v>31278.265432687713</v>
      </c>
      <c r="AD108" s="98">
        <v>98</v>
      </c>
    </row>
    <row r="109" spans="1:30" x14ac:dyDescent="0.2">
      <c r="A109" s="3" t="str">
        <f t="shared" si="2"/>
        <v>202111</v>
      </c>
      <c r="B109" s="49">
        <f t="shared" si="3"/>
        <v>2021</v>
      </c>
      <c r="C109" s="52">
        <v>44530</v>
      </c>
      <c r="D109" s="53">
        <v>22402599.130000003</v>
      </c>
      <c r="E109" s="54">
        <v>413.7</v>
      </c>
      <c r="F109" s="54">
        <v>0</v>
      </c>
      <c r="G109" s="53">
        <v>30</v>
      </c>
      <c r="H109" s="53">
        <v>1</v>
      </c>
      <c r="I109" s="53">
        <v>352</v>
      </c>
      <c r="J109" s="53">
        <v>0</v>
      </c>
      <c r="K109" s="55">
        <v>44</v>
      </c>
      <c r="L109" s="53">
        <v>12776</v>
      </c>
      <c r="M109" s="53">
        <v>107</v>
      </c>
      <c r="N109" s="94">
        <v>787</v>
      </c>
      <c r="O109" s="56">
        <v>166.18859082979077</v>
      </c>
      <c r="P109" s="98">
        <v>7412108.230398397</v>
      </c>
      <c r="Q109">
        <v>11484</v>
      </c>
      <c r="R109" s="98">
        <v>2833617.4410838671</v>
      </c>
      <c r="S109">
        <v>1166</v>
      </c>
      <c r="T109" s="98">
        <v>11398721.610533345</v>
      </c>
      <c r="U109" s="98">
        <v>25162.09</v>
      </c>
      <c r="V109">
        <v>126</v>
      </c>
      <c r="W109" s="98">
        <v>89929.720446522275</v>
      </c>
      <c r="X109" s="98">
        <v>203.45000000000002</v>
      </c>
      <c r="Y109">
        <v>2982</v>
      </c>
      <c r="Z109" s="98">
        <v>8422.6218872245008</v>
      </c>
      <c r="AA109" s="98">
        <v>23.5</v>
      </c>
      <c r="AB109" s="98">
        <v>158</v>
      </c>
      <c r="AC109" s="98">
        <v>31278.265432687713</v>
      </c>
      <c r="AD109" s="98">
        <v>98</v>
      </c>
    </row>
    <row r="110" spans="1:30" x14ac:dyDescent="0.2">
      <c r="A110" s="3" t="str">
        <f t="shared" si="2"/>
        <v>202112</v>
      </c>
      <c r="B110" s="49">
        <f t="shared" si="3"/>
        <v>2021</v>
      </c>
      <c r="C110" s="52">
        <v>44561</v>
      </c>
      <c r="D110" s="53">
        <v>23318783.640000001</v>
      </c>
      <c r="E110" s="54">
        <v>500.6</v>
      </c>
      <c r="F110" s="54">
        <v>0</v>
      </c>
      <c r="G110" s="53">
        <v>31</v>
      </c>
      <c r="H110" s="53">
        <v>0</v>
      </c>
      <c r="I110" s="53">
        <v>336</v>
      </c>
      <c r="J110" s="53">
        <v>0</v>
      </c>
      <c r="K110" s="55">
        <v>40.4</v>
      </c>
      <c r="L110" s="53">
        <v>12774</v>
      </c>
      <c r="M110" s="53">
        <v>108</v>
      </c>
      <c r="N110" s="94">
        <v>784.8</v>
      </c>
      <c r="O110" s="56">
        <v>166.77267610176432</v>
      </c>
      <c r="P110" s="98">
        <v>8623736.9269831013</v>
      </c>
      <c r="Q110">
        <v>11484</v>
      </c>
      <c r="R110" s="98">
        <v>3089626.2078954987</v>
      </c>
      <c r="S110">
        <v>1166</v>
      </c>
      <c r="T110" s="98">
        <v>10772611.697357118</v>
      </c>
      <c r="U110" s="98">
        <v>25981.659999999989</v>
      </c>
      <c r="V110">
        <v>124</v>
      </c>
      <c r="W110" s="98">
        <v>95917.364755271439</v>
      </c>
      <c r="X110" s="98">
        <v>202.84</v>
      </c>
      <c r="Y110">
        <v>2982</v>
      </c>
      <c r="Z110" s="98">
        <v>8703.3202938650866</v>
      </c>
      <c r="AA110" s="98">
        <v>23.5</v>
      </c>
      <c r="AB110" s="98">
        <v>158</v>
      </c>
      <c r="AC110" s="98">
        <v>31278.265432687705</v>
      </c>
      <c r="AD110" s="98">
        <v>98</v>
      </c>
    </row>
    <row r="111" spans="1:30" x14ac:dyDescent="0.2">
      <c r="A111" s="3" t="str">
        <f t="shared" si="2"/>
        <v>20221</v>
      </c>
      <c r="B111" s="49">
        <f t="shared" si="3"/>
        <v>2022</v>
      </c>
      <c r="C111" s="52">
        <v>44592</v>
      </c>
      <c r="D111" s="53">
        <v>25489220.849999998</v>
      </c>
      <c r="E111" s="54">
        <v>809.35</v>
      </c>
      <c r="F111" s="54">
        <v>0</v>
      </c>
      <c r="G111" s="53">
        <v>31</v>
      </c>
      <c r="H111" s="53">
        <v>0</v>
      </c>
      <c r="I111" s="53">
        <v>320</v>
      </c>
      <c r="J111" s="53">
        <v>0</v>
      </c>
      <c r="K111" s="55">
        <v>41.4</v>
      </c>
      <c r="L111" s="53">
        <v>12781</v>
      </c>
      <c r="M111" s="53">
        <v>109</v>
      </c>
      <c r="N111" s="94">
        <v>774</v>
      </c>
      <c r="O111" s="56">
        <v>167.12978112022378</v>
      </c>
      <c r="P111" s="98">
        <v>9641209.2548421528</v>
      </c>
      <c r="Q111">
        <v>11490</v>
      </c>
      <c r="R111" s="98">
        <v>3388924.1007537455</v>
      </c>
      <c r="S111">
        <v>1166</v>
      </c>
      <c r="T111" s="98">
        <v>11582229.949432304</v>
      </c>
      <c r="U111" s="98">
        <v>25339.699999999997</v>
      </c>
      <c r="V111">
        <v>125</v>
      </c>
      <c r="W111" s="98">
        <v>93597.662436790371</v>
      </c>
      <c r="X111" s="98">
        <v>202.84</v>
      </c>
      <c r="Y111">
        <v>2985</v>
      </c>
      <c r="Z111" s="98">
        <v>8703.3107527907632</v>
      </c>
      <c r="AA111" s="98">
        <v>23.5</v>
      </c>
      <c r="AB111" s="98">
        <v>158</v>
      </c>
      <c r="AC111" s="98">
        <v>31278.265432687713</v>
      </c>
      <c r="AD111" s="98">
        <v>98</v>
      </c>
    </row>
    <row r="112" spans="1:30" x14ac:dyDescent="0.2">
      <c r="A112" s="3" t="str">
        <f t="shared" si="2"/>
        <v>20222</v>
      </c>
      <c r="B112" s="49">
        <f t="shared" si="3"/>
        <v>2022</v>
      </c>
      <c r="C112" s="52">
        <v>44620</v>
      </c>
      <c r="D112" s="53">
        <v>23005811.43</v>
      </c>
      <c r="E112" s="54">
        <v>626.54999999999995</v>
      </c>
      <c r="F112" s="54">
        <v>0</v>
      </c>
      <c r="G112" s="53">
        <v>28</v>
      </c>
      <c r="H112" s="53">
        <v>0</v>
      </c>
      <c r="I112" s="53">
        <v>304</v>
      </c>
      <c r="J112" s="53">
        <v>0</v>
      </c>
      <c r="K112" s="55">
        <v>41.2</v>
      </c>
      <c r="L112" s="53">
        <v>12784</v>
      </c>
      <c r="M112" s="53">
        <v>110</v>
      </c>
      <c r="N112" s="94">
        <v>766.1</v>
      </c>
      <c r="O112" s="56">
        <v>167.48765079628296</v>
      </c>
      <c r="P112" s="98">
        <v>8224390.8119454375</v>
      </c>
      <c r="Q112">
        <v>11492</v>
      </c>
      <c r="R112" s="98">
        <v>3049284.1618166128</v>
      </c>
      <c r="S112">
        <v>1166</v>
      </c>
      <c r="T112" s="98">
        <v>10937183.331743153</v>
      </c>
      <c r="U112" s="98">
        <v>25437.650000000009</v>
      </c>
      <c r="V112">
        <v>126</v>
      </c>
      <c r="W112" s="98">
        <v>84992.701078141399</v>
      </c>
      <c r="X112" s="98">
        <v>202.84</v>
      </c>
      <c r="Y112">
        <v>2985</v>
      </c>
      <c r="Z112" s="98">
        <v>8422.621887224499</v>
      </c>
      <c r="AA112" s="98">
        <v>23.7</v>
      </c>
      <c r="AB112" s="98">
        <v>158</v>
      </c>
      <c r="AC112" s="98">
        <v>31278.26543268772</v>
      </c>
      <c r="AD112" s="98">
        <v>98</v>
      </c>
    </row>
    <row r="113" spans="1:30" x14ac:dyDescent="0.2">
      <c r="A113" s="3" t="str">
        <f t="shared" si="2"/>
        <v>20223</v>
      </c>
      <c r="B113" s="49">
        <f t="shared" si="3"/>
        <v>2022</v>
      </c>
      <c r="C113" s="52">
        <v>44651</v>
      </c>
      <c r="D113" s="53">
        <v>24103482.41</v>
      </c>
      <c r="E113" s="54">
        <v>523.90000000000009</v>
      </c>
      <c r="F113" s="54">
        <v>0</v>
      </c>
      <c r="G113" s="53">
        <v>31</v>
      </c>
      <c r="H113" s="53">
        <v>1</v>
      </c>
      <c r="I113" s="53">
        <v>368</v>
      </c>
      <c r="J113" s="53">
        <v>0</v>
      </c>
      <c r="K113" s="55">
        <v>45.3</v>
      </c>
      <c r="L113" s="53">
        <v>12795</v>
      </c>
      <c r="M113" s="53">
        <v>111</v>
      </c>
      <c r="N113" s="94">
        <v>766.5</v>
      </c>
      <c r="O113" s="56">
        <v>167.84628676727883</v>
      </c>
      <c r="P113" s="98">
        <v>8160249.6612918293</v>
      </c>
      <c r="Q113">
        <v>11503</v>
      </c>
      <c r="R113" s="98">
        <v>3161931.9530579131</v>
      </c>
      <c r="S113">
        <v>1166</v>
      </c>
      <c r="T113" s="98">
        <v>11999940.864421329</v>
      </c>
      <c r="U113" s="98">
        <v>25472.080000000009</v>
      </c>
      <c r="V113">
        <v>126</v>
      </c>
      <c r="W113" s="98">
        <v>76610.476099608815</v>
      </c>
      <c r="X113" s="98">
        <v>202.84</v>
      </c>
      <c r="Y113">
        <v>2985</v>
      </c>
      <c r="Z113" s="98">
        <v>8271.4244823967201</v>
      </c>
      <c r="AA113" s="98">
        <v>23.5</v>
      </c>
      <c r="AB113" s="98">
        <v>158</v>
      </c>
      <c r="AC113" s="98">
        <v>31278.26543268772</v>
      </c>
      <c r="AD113" s="98">
        <v>98</v>
      </c>
    </row>
    <row r="114" spans="1:30" x14ac:dyDescent="0.2">
      <c r="A114" s="3" t="str">
        <f t="shared" si="2"/>
        <v>20224</v>
      </c>
      <c r="B114" s="49">
        <f t="shared" si="3"/>
        <v>2022</v>
      </c>
      <c r="C114" s="52">
        <v>44681</v>
      </c>
      <c r="D114" s="53">
        <v>21054165.982828289</v>
      </c>
      <c r="E114" s="54">
        <v>339.94999999999993</v>
      </c>
      <c r="F114" s="54">
        <v>0</v>
      </c>
      <c r="G114" s="53">
        <v>30</v>
      </c>
      <c r="H114" s="53">
        <v>1</v>
      </c>
      <c r="I114" s="53">
        <v>320</v>
      </c>
      <c r="J114" s="53">
        <v>0</v>
      </c>
      <c r="K114" s="55">
        <v>42.3</v>
      </c>
      <c r="L114" s="53">
        <v>12798</v>
      </c>
      <c r="M114" s="53">
        <v>112</v>
      </c>
      <c r="N114" s="94">
        <v>781.3</v>
      </c>
      <c r="O114" s="56">
        <v>168.20569067405432</v>
      </c>
      <c r="P114" s="98">
        <v>6962715.8954298301</v>
      </c>
      <c r="Q114">
        <v>11505</v>
      </c>
      <c r="R114" s="98">
        <v>2732704.589256749</v>
      </c>
      <c r="S114">
        <v>1167</v>
      </c>
      <c r="T114" s="98">
        <v>10866463.056960216</v>
      </c>
      <c r="U114" s="98">
        <v>25719.379999999997</v>
      </c>
      <c r="V114">
        <v>126</v>
      </c>
      <c r="W114" s="98">
        <v>63548.688102280321</v>
      </c>
      <c r="X114" s="98">
        <v>202.84</v>
      </c>
      <c r="Y114">
        <v>2985</v>
      </c>
      <c r="Z114" s="98">
        <v>8260.6239862608527</v>
      </c>
      <c r="AA114" s="98">
        <v>23.5</v>
      </c>
      <c r="AB114" s="98">
        <v>157</v>
      </c>
      <c r="AC114" s="98">
        <v>31278.265432687705</v>
      </c>
      <c r="AD114" s="98">
        <v>98</v>
      </c>
    </row>
    <row r="115" spans="1:30" x14ac:dyDescent="0.2">
      <c r="A115" s="3" t="str">
        <f t="shared" si="2"/>
        <v>20225</v>
      </c>
      <c r="B115" s="49">
        <f t="shared" si="3"/>
        <v>2022</v>
      </c>
      <c r="C115" s="52">
        <v>44712</v>
      </c>
      <c r="D115" s="53">
        <v>21880073.671260841</v>
      </c>
      <c r="E115" s="54">
        <v>108.24999999999997</v>
      </c>
      <c r="F115" s="54">
        <v>36.75</v>
      </c>
      <c r="G115" s="53">
        <v>31</v>
      </c>
      <c r="H115" s="53">
        <v>1</v>
      </c>
      <c r="I115" s="53">
        <v>336</v>
      </c>
      <c r="J115" s="53">
        <v>0</v>
      </c>
      <c r="K115" s="55">
        <v>43.3</v>
      </c>
      <c r="L115" s="53">
        <v>12809</v>
      </c>
      <c r="M115" s="53">
        <v>113</v>
      </c>
      <c r="N115" s="94">
        <v>791.5</v>
      </c>
      <c r="O115" s="56">
        <v>168.56586416096587</v>
      </c>
      <c r="P115" s="98">
        <v>7067773.5330598233</v>
      </c>
      <c r="Q115">
        <v>11514</v>
      </c>
      <c r="R115" s="98">
        <v>2741592.386222688</v>
      </c>
      <c r="S115">
        <v>1169</v>
      </c>
      <c r="T115" s="98">
        <v>11394969.974239094</v>
      </c>
      <c r="U115" s="98">
        <v>27338.529999999995</v>
      </c>
      <c r="V115">
        <v>126</v>
      </c>
      <c r="W115" s="98">
        <v>57328.97624272493</v>
      </c>
      <c r="X115" s="98">
        <v>202.84</v>
      </c>
      <c r="Y115">
        <v>2985</v>
      </c>
      <c r="Z115" s="98">
        <v>8260.6239862608545</v>
      </c>
      <c r="AA115" s="98">
        <v>23</v>
      </c>
      <c r="AB115" s="98">
        <v>157</v>
      </c>
      <c r="AC115" s="98">
        <v>31278.265432687705</v>
      </c>
      <c r="AD115" s="98">
        <v>98</v>
      </c>
    </row>
    <row r="116" spans="1:30" x14ac:dyDescent="0.2">
      <c r="A116" s="3" t="str">
        <f t="shared" si="2"/>
        <v>20226</v>
      </c>
      <c r="B116" s="49">
        <f t="shared" si="3"/>
        <v>2022</v>
      </c>
      <c r="C116" s="52">
        <v>44742</v>
      </c>
      <c r="D116" s="53">
        <v>22588251.5</v>
      </c>
      <c r="E116" s="54">
        <v>17.699999999999996</v>
      </c>
      <c r="F116" s="54">
        <v>64.2</v>
      </c>
      <c r="G116" s="53">
        <v>30</v>
      </c>
      <c r="H116" s="53">
        <v>0</v>
      </c>
      <c r="I116" s="53">
        <v>352</v>
      </c>
      <c r="J116" s="53">
        <v>0</v>
      </c>
      <c r="K116" s="55">
        <v>38.9</v>
      </c>
      <c r="L116" s="53">
        <v>12821</v>
      </c>
      <c r="M116" s="53">
        <v>114</v>
      </c>
      <c r="N116" s="94">
        <v>802.3</v>
      </c>
      <c r="O116" s="56">
        <v>168.92680887589088</v>
      </c>
      <c r="P116" s="98">
        <v>7723871.1477912385</v>
      </c>
      <c r="Q116">
        <v>11528</v>
      </c>
      <c r="R116" s="98">
        <v>2791478.6566167357</v>
      </c>
      <c r="S116">
        <v>1167</v>
      </c>
      <c r="T116" s="98">
        <v>11257810.943612255</v>
      </c>
      <c r="U116" s="98">
        <v>27864.360000000008</v>
      </c>
      <c r="V116">
        <v>126</v>
      </c>
      <c r="W116" s="98">
        <v>49058.17193015934</v>
      </c>
      <c r="X116" s="98">
        <v>202.84</v>
      </c>
      <c r="Y116">
        <v>2985</v>
      </c>
      <c r="Z116" s="98">
        <v>8260.6239862608527</v>
      </c>
      <c r="AA116" s="98">
        <v>23</v>
      </c>
      <c r="AB116" s="98">
        <v>157</v>
      </c>
      <c r="AC116" s="98">
        <v>31278.265432687713</v>
      </c>
      <c r="AD116" s="98">
        <v>98</v>
      </c>
    </row>
    <row r="117" spans="1:30" x14ac:dyDescent="0.2">
      <c r="A117" s="3" t="str">
        <f t="shared" si="2"/>
        <v>20227</v>
      </c>
      <c r="B117" s="49">
        <f t="shared" si="3"/>
        <v>2022</v>
      </c>
      <c r="C117" s="52">
        <v>44773</v>
      </c>
      <c r="D117" s="53">
        <v>24257008.129999999</v>
      </c>
      <c r="E117" s="54">
        <v>0</v>
      </c>
      <c r="F117" s="54">
        <v>144.69999999999996</v>
      </c>
      <c r="G117" s="53">
        <v>31</v>
      </c>
      <c r="H117" s="53">
        <v>0</v>
      </c>
      <c r="I117" s="53">
        <v>320</v>
      </c>
      <c r="J117" s="53">
        <v>0</v>
      </c>
      <c r="K117" s="55">
        <v>39.799999999999997</v>
      </c>
      <c r="L117" s="53">
        <v>12828</v>
      </c>
      <c r="M117" s="53">
        <v>115</v>
      </c>
      <c r="N117" s="94">
        <v>807.5</v>
      </c>
      <c r="O117" s="56">
        <v>169.28852647023535</v>
      </c>
      <c r="P117" s="98">
        <v>8827514.5692204721</v>
      </c>
      <c r="Q117">
        <v>11532</v>
      </c>
      <c r="R117" s="98">
        <v>2980977.2827020301</v>
      </c>
      <c r="S117">
        <v>1170</v>
      </c>
      <c r="T117" s="98">
        <v>11631886.222688677</v>
      </c>
      <c r="U117" s="98">
        <v>27292.46000000001</v>
      </c>
      <c r="V117">
        <v>126</v>
      </c>
      <c r="W117" s="98">
        <v>51909.569697547944</v>
      </c>
      <c r="X117" s="98">
        <v>202.84</v>
      </c>
      <c r="Y117">
        <v>2985</v>
      </c>
      <c r="Z117" s="98">
        <v>8260.6239862608545</v>
      </c>
      <c r="AA117" s="98">
        <v>23</v>
      </c>
      <c r="AB117" s="98">
        <v>157</v>
      </c>
      <c r="AC117" s="98">
        <v>31278.265432687705</v>
      </c>
      <c r="AD117" s="98">
        <v>98</v>
      </c>
    </row>
    <row r="118" spans="1:30" x14ac:dyDescent="0.2">
      <c r="A118" s="3" t="str">
        <f t="shared" si="2"/>
        <v>20228</v>
      </c>
      <c r="B118" s="49">
        <f t="shared" si="3"/>
        <v>2022</v>
      </c>
      <c r="C118" s="52">
        <v>44804</v>
      </c>
      <c r="D118" s="53">
        <v>24568812.140000001</v>
      </c>
      <c r="E118" s="54">
        <v>0</v>
      </c>
      <c r="F118" s="54">
        <v>140.49999999999997</v>
      </c>
      <c r="G118" s="53">
        <v>31</v>
      </c>
      <c r="H118" s="53">
        <v>0</v>
      </c>
      <c r="I118" s="53">
        <v>368</v>
      </c>
      <c r="J118" s="53">
        <v>0</v>
      </c>
      <c r="K118" s="55">
        <v>44.4</v>
      </c>
      <c r="L118" s="53">
        <v>12835</v>
      </c>
      <c r="M118" s="53">
        <v>116</v>
      </c>
      <c r="N118" s="94">
        <v>816.9</v>
      </c>
      <c r="O118" s="56">
        <v>169.65101859894136</v>
      </c>
      <c r="P118" s="98">
        <v>8841929.3769678231</v>
      </c>
      <c r="Q118">
        <v>11540</v>
      </c>
      <c r="R118" s="98">
        <v>2999736.8762522629</v>
      </c>
      <c r="S118">
        <v>1169</v>
      </c>
      <c r="T118" s="98">
        <v>11892962.608529724</v>
      </c>
      <c r="U118" s="98">
        <v>27807.489999999998</v>
      </c>
      <c r="V118">
        <v>126</v>
      </c>
      <c r="W118" s="98">
        <v>62320.255700791909</v>
      </c>
      <c r="X118" s="98">
        <v>202.84</v>
      </c>
      <c r="Y118">
        <v>2985</v>
      </c>
      <c r="Z118" s="98">
        <v>8260.6239862608527</v>
      </c>
      <c r="AA118" s="98">
        <v>23</v>
      </c>
      <c r="AB118" s="98">
        <v>157</v>
      </c>
      <c r="AC118" s="98">
        <v>31278.26543268772</v>
      </c>
      <c r="AD118" s="98">
        <v>98</v>
      </c>
    </row>
    <row r="119" spans="1:30" x14ac:dyDescent="0.2">
      <c r="A119" s="3" t="str">
        <f t="shared" si="2"/>
        <v>20229</v>
      </c>
      <c r="B119" s="49">
        <f t="shared" si="3"/>
        <v>2022</v>
      </c>
      <c r="C119" s="52">
        <v>44834</v>
      </c>
      <c r="D119" s="53">
        <v>21763225.319999997</v>
      </c>
      <c r="E119" s="54">
        <v>52.3</v>
      </c>
      <c r="F119" s="54">
        <v>49.15</v>
      </c>
      <c r="G119" s="53">
        <v>30</v>
      </c>
      <c r="H119" s="53">
        <v>1</v>
      </c>
      <c r="I119" s="53">
        <v>336</v>
      </c>
      <c r="J119" s="53">
        <v>0</v>
      </c>
      <c r="K119" s="55">
        <v>48.8</v>
      </c>
      <c r="L119" s="53">
        <v>12839</v>
      </c>
      <c r="M119" s="53">
        <v>117</v>
      </c>
      <c r="N119" s="94">
        <v>816.5</v>
      </c>
      <c r="O119" s="56">
        <v>170.01428692049467</v>
      </c>
      <c r="P119" s="98">
        <v>7048738.4123652317</v>
      </c>
      <c r="Q119">
        <v>11545</v>
      </c>
      <c r="R119" s="98">
        <v>2656267.4649365516</v>
      </c>
      <c r="S119">
        <v>1168</v>
      </c>
      <c r="T119" s="98">
        <v>11310091.527526002</v>
      </c>
      <c r="U119" s="98">
        <v>27297.190000000002</v>
      </c>
      <c r="V119">
        <v>126</v>
      </c>
      <c r="W119" s="98">
        <v>68888.226314282991</v>
      </c>
      <c r="X119" s="98">
        <v>202.84</v>
      </c>
      <c r="Y119">
        <v>2985</v>
      </c>
      <c r="Z119" s="98">
        <v>8260.6239862608545</v>
      </c>
      <c r="AA119" s="98">
        <v>23</v>
      </c>
      <c r="AB119" s="98">
        <v>157</v>
      </c>
      <c r="AC119" s="98">
        <v>31278.265432687705</v>
      </c>
      <c r="AD119" s="98">
        <v>98</v>
      </c>
    </row>
    <row r="120" spans="1:30" x14ac:dyDescent="0.2">
      <c r="A120" s="3" t="str">
        <f t="shared" si="2"/>
        <v>202210</v>
      </c>
      <c r="B120" s="49">
        <f t="shared" si="3"/>
        <v>2022</v>
      </c>
      <c r="C120" s="52">
        <v>44865</v>
      </c>
      <c r="D120" s="53">
        <v>21332534.440000001</v>
      </c>
      <c r="E120" s="54">
        <v>236.70000000000002</v>
      </c>
      <c r="F120" s="54">
        <v>0.2</v>
      </c>
      <c r="G120" s="53">
        <v>31</v>
      </c>
      <c r="H120" s="53">
        <v>1</v>
      </c>
      <c r="I120" s="53">
        <v>320</v>
      </c>
      <c r="J120" s="53">
        <v>0</v>
      </c>
      <c r="K120" s="55">
        <v>49.8</v>
      </c>
      <c r="L120" s="53">
        <v>12844</v>
      </c>
      <c r="M120" s="53">
        <v>118</v>
      </c>
      <c r="N120" s="94">
        <v>821.6</v>
      </c>
      <c r="O120" s="56">
        <v>170.37833309693227</v>
      </c>
      <c r="P120" s="98">
        <v>6689866.3963362388</v>
      </c>
      <c r="Q120">
        <v>11550</v>
      </c>
      <c r="R120" s="98">
        <v>2633601.4216200733</v>
      </c>
      <c r="S120">
        <v>1168</v>
      </c>
      <c r="T120" s="98">
        <v>11261196.641541831</v>
      </c>
      <c r="U120" s="98">
        <v>26007.779999999995</v>
      </c>
      <c r="V120">
        <v>126</v>
      </c>
      <c r="W120" s="98">
        <v>81175.918328403772</v>
      </c>
      <c r="X120" s="98">
        <v>202.84</v>
      </c>
      <c r="Y120">
        <v>2985</v>
      </c>
      <c r="Z120" s="98">
        <v>8260.6239862608545</v>
      </c>
      <c r="AA120" s="98">
        <v>23</v>
      </c>
      <c r="AB120" s="98">
        <v>157</v>
      </c>
      <c r="AC120" s="98">
        <v>31278.265432687705</v>
      </c>
      <c r="AD120" s="98">
        <v>98</v>
      </c>
    </row>
    <row r="121" spans="1:30" x14ac:dyDescent="0.2">
      <c r="A121" s="3" t="str">
        <f t="shared" si="2"/>
        <v>202211</v>
      </c>
      <c r="B121" s="49">
        <f t="shared" si="3"/>
        <v>2022</v>
      </c>
      <c r="C121" s="52">
        <v>44895</v>
      </c>
      <c r="D121" s="53">
        <v>22267327.43</v>
      </c>
      <c r="E121" s="54">
        <v>380.09999999999997</v>
      </c>
      <c r="F121" s="54">
        <v>0.9</v>
      </c>
      <c r="G121" s="53">
        <v>30</v>
      </c>
      <c r="H121" s="53">
        <v>1</v>
      </c>
      <c r="I121" s="53">
        <v>352</v>
      </c>
      <c r="J121" s="53">
        <v>0</v>
      </c>
      <c r="K121" s="55">
        <v>45.6</v>
      </c>
      <c r="L121" s="53">
        <v>12842</v>
      </c>
      <c r="M121" s="53">
        <v>119</v>
      </c>
      <c r="N121" s="94">
        <v>820.4</v>
      </c>
      <c r="O121" s="56">
        <v>170.74315879385006</v>
      </c>
      <c r="P121" s="98">
        <v>7272501.1640110612</v>
      </c>
      <c r="Q121">
        <v>11556</v>
      </c>
      <c r="R121" s="98">
        <v>2868050.5009063985</v>
      </c>
      <c r="S121">
        <v>1161</v>
      </c>
      <c r="T121" s="98">
        <v>11340747.247400058</v>
      </c>
      <c r="U121" s="98">
        <v>26058.44</v>
      </c>
      <c r="V121">
        <v>125</v>
      </c>
      <c r="W121" s="98">
        <v>89658.267340902588</v>
      </c>
      <c r="X121" s="98">
        <v>202.84</v>
      </c>
      <c r="Y121">
        <v>2985</v>
      </c>
      <c r="Z121" s="98">
        <v>8260.6239862608527</v>
      </c>
      <c r="AA121" s="98">
        <v>23</v>
      </c>
      <c r="AB121" s="98">
        <v>157</v>
      </c>
      <c r="AC121" s="98">
        <v>31278.265432687705</v>
      </c>
      <c r="AD121" s="98">
        <v>98</v>
      </c>
    </row>
    <row r="122" spans="1:30" x14ac:dyDescent="0.2">
      <c r="A122" s="3" t="str">
        <f t="shared" si="2"/>
        <v>202212</v>
      </c>
      <c r="B122" s="49">
        <f t="shared" si="3"/>
        <v>2022</v>
      </c>
      <c r="C122" s="52">
        <v>44926</v>
      </c>
      <c r="D122" s="53">
        <v>23648226.640000001</v>
      </c>
      <c r="E122" s="54">
        <v>575.29999999999984</v>
      </c>
      <c r="F122" s="54">
        <v>0</v>
      </c>
      <c r="G122" s="53">
        <v>31</v>
      </c>
      <c r="H122" s="53">
        <v>0</v>
      </c>
      <c r="I122" s="53">
        <v>320</v>
      </c>
      <c r="J122" s="53">
        <v>0</v>
      </c>
      <c r="K122" s="55">
        <v>44.2</v>
      </c>
      <c r="L122" s="53">
        <v>12846</v>
      </c>
      <c r="M122" s="53">
        <v>120</v>
      </c>
      <c r="N122" s="94">
        <v>825.7</v>
      </c>
      <c r="O122" s="56">
        <v>171.10876568041019</v>
      </c>
      <c r="P122" s="98">
        <v>8910867.4974489491</v>
      </c>
      <c r="Q122">
        <v>11560</v>
      </c>
      <c r="R122" s="98">
        <v>3231314.0805829647</v>
      </c>
      <c r="S122">
        <v>1161</v>
      </c>
      <c r="T122" s="98">
        <v>10683883.7229272</v>
      </c>
      <c r="U122" s="98">
        <v>26046.399999999998</v>
      </c>
      <c r="V122">
        <v>125</v>
      </c>
      <c r="W122" s="98">
        <v>95917.364755271439</v>
      </c>
      <c r="X122" s="98">
        <v>202.84</v>
      </c>
      <c r="Y122">
        <v>2985</v>
      </c>
      <c r="Z122" s="98">
        <v>8260.6239862608509</v>
      </c>
      <c r="AA122" s="98">
        <v>23</v>
      </c>
      <c r="AB122" s="98">
        <v>157</v>
      </c>
      <c r="AC122" s="98">
        <v>31278.265432687713</v>
      </c>
      <c r="AD122" s="98">
        <v>98</v>
      </c>
    </row>
    <row r="123" spans="1:30" x14ac:dyDescent="0.2">
      <c r="A123" s="198" t="str">
        <f t="shared" si="2"/>
        <v>20231</v>
      </c>
      <c r="B123" s="199">
        <f t="shared" si="3"/>
        <v>2023</v>
      </c>
      <c r="C123" s="200">
        <v>44957</v>
      </c>
      <c r="D123" s="201">
        <v>24583662.5</v>
      </c>
      <c r="E123" s="202">
        <v>585.09999999999991</v>
      </c>
      <c r="F123" s="202">
        <v>0</v>
      </c>
      <c r="G123" s="201">
        <v>31</v>
      </c>
      <c r="H123" s="201">
        <v>0</v>
      </c>
      <c r="I123" s="201">
        <v>336</v>
      </c>
      <c r="J123" s="201">
        <v>0</v>
      </c>
      <c r="K123" s="203"/>
      <c r="L123" s="201">
        <v>12536.383589161656</v>
      </c>
      <c r="M123" s="201">
        <v>121</v>
      </c>
      <c r="N123" s="201"/>
      <c r="O123" s="204">
        <v>171.17989813436679</v>
      </c>
      <c r="P123" s="205">
        <v>8634958.334128432</v>
      </c>
      <c r="Q123" s="206">
        <v>11561</v>
      </c>
      <c r="R123" s="205">
        <v>3262458.77301784</v>
      </c>
      <c r="S123" s="206">
        <v>1161</v>
      </c>
      <c r="T123" s="205">
        <v>11648698.759660341</v>
      </c>
      <c r="U123" s="205">
        <v>25849.81</v>
      </c>
      <c r="V123" s="206">
        <v>125</v>
      </c>
      <c r="W123" s="205">
        <v>93597.662436790371</v>
      </c>
      <c r="X123" s="205">
        <v>202.84</v>
      </c>
      <c r="Y123" s="206">
        <v>2985</v>
      </c>
      <c r="Z123" s="205">
        <v>8260.6239862608545</v>
      </c>
      <c r="AA123" s="205">
        <v>23</v>
      </c>
      <c r="AB123" s="205">
        <v>157</v>
      </c>
      <c r="AC123" s="205">
        <v>31278.265432687698</v>
      </c>
      <c r="AD123" s="206">
        <v>98</v>
      </c>
    </row>
    <row r="124" spans="1:30" x14ac:dyDescent="0.2">
      <c r="A124" s="198" t="str">
        <f t="shared" si="2"/>
        <v>20232</v>
      </c>
      <c r="B124" s="199">
        <f t="shared" si="3"/>
        <v>2023</v>
      </c>
      <c r="C124" s="200">
        <v>44985</v>
      </c>
      <c r="D124" s="201">
        <v>22002707.612050563</v>
      </c>
      <c r="E124" s="202">
        <v>543.29999999999995</v>
      </c>
      <c r="F124" s="202">
        <v>0</v>
      </c>
      <c r="G124" s="201">
        <v>28</v>
      </c>
      <c r="H124" s="201">
        <v>0</v>
      </c>
      <c r="I124" s="201">
        <v>304</v>
      </c>
      <c r="J124" s="201">
        <v>0</v>
      </c>
      <c r="K124" s="203"/>
      <c r="L124" s="201">
        <v>0</v>
      </c>
      <c r="M124" s="201">
        <v>122</v>
      </c>
      <c r="N124" s="201"/>
      <c r="O124" s="204">
        <v>171.25106015914045</v>
      </c>
      <c r="P124" s="205">
        <v>7888077.1968323849</v>
      </c>
      <c r="Q124" s="206">
        <v>11570</v>
      </c>
      <c r="R124" s="205">
        <v>3032151.3405209454</v>
      </c>
      <c r="S124" s="206">
        <v>1159</v>
      </c>
      <c r="T124" s="205">
        <v>10385749.403682858</v>
      </c>
      <c r="U124" s="205">
        <v>26292.26</v>
      </c>
      <c r="V124" s="206">
        <v>126</v>
      </c>
      <c r="W124" s="205">
        <v>83613.300257609008</v>
      </c>
      <c r="X124" s="205">
        <v>199.54000000000002</v>
      </c>
      <c r="Y124" s="206">
        <v>2985</v>
      </c>
      <c r="Z124" s="205">
        <v>8260.6239862608527</v>
      </c>
      <c r="AA124" s="205">
        <v>23</v>
      </c>
      <c r="AB124" s="205">
        <v>157</v>
      </c>
      <c r="AC124" s="205">
        <v>30794.265814330676</v>
      </c>
      <c r="AD124" s="206">
        <v>98</v>
      </c>
    </row>
    <row r="125" spans="1:30" x14ac:dyDescent="0.2">
      <c r="A125" s="198" t="str">
        <f t="shared" si="2"/>
        <v>20233</v>
      </c>
      <c r="B125" s="199">
        <f t="shared" si="3"/>
        <v>2023</v>
      </c>
      <c r="C125" s="200">
        <v>45016</v>
      </c>
      <c r="D125" s="201">
        <v>23768845.469999999</v>
      </c>
      <c r="E125" s="202">
        <v>530.90000000000009</v>
      </c>
      <c r="F125" s="202">
        <v>0</v>
      </c>
      <c r="G125" s="201">
        <v>31</v>
      </c>
      <c r="H125" s="201">
        <v>1</v>
      </c>
      <c r="I125" s="201">
        <v>368</v>
      </c>
      <c r="J125" s="201">
        <v>0</v>
      </c>
      <c r="K125" s="203"/>
      <c r="L125" s="201">
        <v>0</v>
      </c>
      <c r="M125" s="201">
        <v>123</v>
      </c>
      <c r="N125" s="201"/>
      <c r="O125" s="204">
        <v>171.3222517670242</v>
      </c>
      <c r="P125" s="205">
        <v>8098653.8879877999</v>
      </c>
      <c r="Q125" s="206">
        <v>11579</v>
      </c>
      <c r="R125" s="205">
        <v>3238355.7484972822</v>
      </c>
      <c r="S125" s="206">
        <v>1160</v>
      </c>
      <c r="T125" s="205">
        <v>11419927.707279837</v>
      </c>
      <c r="U125" s="205">
        <v>25342.81</v>
      </c>
      <c r="V125" s="206">
        <v>126</v>
      </c>
      <c r="W125" s="205">
        <v>75376.271348153794</v>
      </c>
      <c r="X125" s="205">
        <v>199.54000000000002</v>
      </c>
      <c r="Y125" s="206">
        <v>2985</v>
      </c>
      <c r="Z125" s="205">
        <v>8260.6239862608545</v>
      </c>
      <c r="AA125" s="205">
        <v>23</v>
      </c>
      <c r="AB125" s="205">
        <v>157</v>
      </c>
      <c r="AC125" s="205">
        <v>30794.265814330676</v>
      </c>
      <c r="AD125" s="206">
        <v>98</v>
      </c>
    </row>
    <row r="126" spans="1:30" x14ac:dyDescent="0.2">
      <c r="A126" s="198" t="str">
        <f t="shared" si="2"/>
        <v>20234</v>
      </c>
      <c r="B126" s="199">
        <f t="shared" si="3"/>
        <v>2023</v>
      </c>
      <c r="C126" s="200">
        <v>45046</v>
      </c>
      <c r="D126" s="201">
        <v>21333713.989999998</v>
      </c>
      <c r="E126" s="202">
        <v>275.70000000000005</v>
      </c>
      <c r="F126" s="202">
        <v>7.1000000000000005</v>
      </c>
      <c r="G126" s="201">
        <v>30</v>
      </c>
      <c r="H126" s="201">
        <v>1</v>
      </c>
      <c r="I126" s="201">
        <v>304</v>
      </c>
      <c r="J126" s="201">
        <v>0</v>
      </c>
      <c r="K126" s="203"/>
      <c r="L126" s="201">
        <v>0</v>
      </c>
      <c r="M126" s="201">
        <v>124</v>
      </c>
      <c r="N126" s="201"/>
      <c r="O126" s="204">
        <v>171.39347297031614</v>
      </c>
      <c r="P126" s="205">
        <v>6919398.8073657155</v>
      </c>
      <c r="Q126" s="206">
        <v>11585</v>
      </c>
      <c r="R126" s="205">
        <v>2747740.3969086902</v>
      </c>
      <c r="S126" s="206">
        <v>1160</v>
      </c>
      <c r="T126" s="205">
        <v>10387968.857933406</v>
      </c>
      <c r="U126" s="205">
        <v>26865.120000000003</v>
      </c>
      <c r="V126" s="206">
        <v>126</v>
      </c>
      <c r="W126" s="205">
        <v>62525.694113157137</v>
      </c>
      <c r="X126" s="205">
        <v>199.54000000000002</v>
      </c>
      <c r="Y126" s="206">
        <v>2985</v>
      </c>
      <c r="Z126" s="205">
        <v>8260.6239862608545</v>
      </c>
      <c r="AA126" s="205">
        <v>23</v>
      </c>
      <c r="AB126" s="205">
        <v>157</v>
      </c>
      <c r="AC126" s="205">
        <v>30794.265814330691</v>
      </c>
      <c r="AD126" s="206">
        <v>98</v>
      </c>
    </row>
    <row r="127" spans="1:30" x14ac:dyDescent="0.2">
      <c r="A127" s="198" t="str">
        <f t="shared" si="2"/>
        <v>20235</v>
      </c>
      <c r="B127" s="199">
        <f t="shared" si="3"/>
        <v>2023</v>
      </c>
      <c r="C127" s="200">
        <v>45077</v>
      </c>
      <c r="D127" s="201">
        <v>21691788.009999998</v>
      </c>
      <c r="E127" s="202">
        <v>153.89999999999998</v>
      </c>
      <c r="F127" s="202">
        <v>15</v>
      </c>
      <c r="G127" s="201">
        <v>31</v>
      </c>
      <c r="H127" s="201">
        <v>1</v>
      </c>
      <c r="I127" s="201">
        <v>352</v>
      </c>
      <c r="J127" s="201">
        <v>0</v>
      </c>
      <c r="K127" s="203"/>
      <c r="L127" s="201">
        <v>0</v>
      </c>
      <c r="M127" s="201">
        <v>125</v>
      </c>
      <c r="N127" s="201"/>
      <c r="O127" s="204">
        <v>171.46472378131955</v>
      </c>
      <c r="P127" s="205">
        <v>6772082.3585535865</v>
      </c>
      <c r="Q127" s="206">
        <v>11595</v>
      </c>
      <c r="R127" s="205">
        <v>2743697.691060015</v>
      </c>
      <c r="S127" s="206">
        <v>1158</v>
      </c>
      <c r="T127" s="205">
        <v>11069800.209903631</v>
      </c>
      <c r="U127" s="205">
        <v>28356.339999999986</v>
      </c>
      <c r="V127" s="206">
        <v>126</v>
      </c>
      <c r="W127" s="205">
        <v>56408.27211143975</v>
      </c>
      <c r="X127" s="205">
        <v>199.54000000000002</v>
      </c>
      <c r="Y127" s="206">
        <v>2952</v>
      </c>
      <c r="Z127" s="205">
        <v>8260.6239862608527</v>
      </c>
      <c r="AA127" s="205">
        <v>23</v>
      </c>
      <c r="AB127" s="205">
        <v>157</v>
      </c>
      <c r="AC127" s="205">
        <v>30794.26581433068</v>
      </c>
      <c r="AD127" s="206">
        <v>98</v>
      </c>
    </row>
    <row r="128" spans="1:30" x14ac:dyDescent="0.2">
      <c r="A128" s="198" t="str">
        <f t="shared" si="2"/>
        <v>20236</v>
      </c>
      <c r="B128" s="199">
        <f t="shared" si="3"/>
        <v>2023</v>
      </c>
      <c r="C128" s="200">
        <v>45107</v>
      </c>
      <c r="D128" s="201">
        <v>22454588.449999999</v>
      </c>
      <c r="E128" s="202">
        <v>16.099999999999998</v>
      </c>
      <c r="F128" s="202">
        <v>59.100000000000009</v>
      </c>
      <c r="G128" s="201">
        <v>30</v>
      </c>
      <c r="H128" s="201">
        <v>0</v>
      </c>
      <c r="I128" s="201">
        <v>352</v>
      </c>
      <c r="J128" s="201">
        <v>0</v>
      </c>
      <c r="K128" s="203"/>
      <c r="L128" s="201">
        <v>0</v>
      </c>
      <c r="M128" s="201">
        <v>126</v>
      </c>
      <c r="N128" s="201"/>
      <c r="O128" s="204">
        <v>171.53600421234282</v>
      </c>
      <c r="P128" s="205">
        <v>7546037.5918328464</v>
      </c>
      <c r="Q128" s="206">
        <v>11595</v>
      </c>
      <c r="R128" s="205">
        <v>2776032.7735903063</v>
      </c>
      <c r="S128" s="206">
        <v>1158</v>
      </c>
      <c r="T128" s="205">
        <v>11073173.361320483</v>
      </c>
      <c r="U128" s="205">
        <v>28333.809999999998</v>
      </c>
      <c r="V128" s="206">
        <v>126</v>
      </c>
      <c r="W128" s="205">
        <v>48266.176891517985</v>
      </c>
      <c r="X128" s="205">
        <v>199.54000000000002</v>
      </c>
      <c r="Y128" s="206">
        <v>2952</v>
      </c>
      <c r="Z128" s="205">
        <v>8260.6239862608527</v>
      </c>
      <c r="AA128" s="205">
        <v>23</v>
      </c>
      <c r="AB128" s="205">
        <v>157</v>
      </c>
      <c r="AC128" s="205">
        <v>30794.265814330691</v>
      </c>
      <c r="AD128" s="206">
        <v>98</v>
      </c>
    </row>
    <row r="129" spans="1:30" x14ac:dyDescent="0.2">
      <c r="A129" s="198" t="str">
        <f t="shared" si="2"/>
        <v>20237</v>
      </c>
      <c r="B129" s="199">
        <f t="shared" si="3"/>
        <v>2023</v>
      </c>
      <c r="C129" s="200">
        <v>45138</v>
      </c>
      <c r="D129" s="201">
        <v>24590952.84</v>
      </c>
      <c r="E129" s="202">
        <v>0</v>
      </c>
      <c r="F129" s="202">
        <v>128.29999999999995</v>
      </c>
      <c r="G129" s="201">
        <v>31</v>
      </c>
      <c r="H129" s="201">
        <v>0</v>
      </c>
      <c r="I129" s="201">
        <v>320</v>
      </c>
      <c r="J129" s="201">
        <v>0</v>
      </c>
      <c r="K129" s="203"/>
      <c r="L129" s="201">
        <v>0</v>
      </c>
      <c r="M129" s="201">
        <v>127</v>
      </c>
      <c r="N129" s="201"/>
      <c r="O129" s="204">
        <v>171.60731427569939</v>
      </c>
      <c r="P129" s="205">
        <v>9010757.3036924247</v>
      </c>
      <c r="Q129" s="206">
        <v>11613</v>
      </c>
      <c r="R129" s="205">
        <v>2965102.1753649423</v>
      </c>
      <c r="S129" s="206">
        <v>1158</v>
      </c>
      <c r="T129" s="205">
        <v>11555628.880831981</v>
      </c>
      <c r="U129" s="205">
        <v>28190.459999999995</v>
      </c>
      <c r="V129" s="206">
        <v>126</v>
      </c>
      <c r="W129" s="205">
        <v>51071.376777025085</v>
      </c>
      <c r="X129" s="205">
        <v>199.54000000000002</v>
      </c>
      <c r="Y129" s="206">
        <v>2952</v>
      </c>
      <c r="Z129" s="205">
        <v>8260.6239862608527</v>
      </c>
      <c r="AA129" s="205">
        <v>23</v>
      </c>
      <c r="AB129" s="205">
        <v>157</v>
      </c>
      <c r="AC129" s="205">
        <v>30794.265814330691</v>
      </c>
      <c r="AD129" s="206">
        <v>98</v>
      </c>
    </row>
    <row r="130" spans="1:30" x14ac:dyDescent="0.2">
      <c r="A130" s="198" t="str">
        <f t="shared" si="2"/>
        <v>20238</v>
      </c>
      <c r="B130" s="199">
        <f t="shared" si="3"/>
        <v>2023</v>
      </c>
      <c r="C130" s="200">
        <v>45169</v>
      </c>
      <c r="D130" s="201">
        <v>23090322.559999999</v>
      </c>
      <c r="E130" s="202">
        <v>7</v>
      </c>
      <c r="F130" s="202">
        <v>70.799999999999983</v>
      </c>
      <c r="G130" s="201">
        <v>31</v>
      </c>
      <c r="H130" s="201">
        <v>0</v>
      </c>
      <c r="I130" s="201">
        <v>368</v>
      </c>
      <c r="J130" s="201">
        <v>0</v>
      </c>
      <c r="K130" s="203"/>
      <c r="L130" s="201">
        <v>0</v>
      </c>
      <c r="M130" s="201">
        <v>128</v>
      </c>
      <c r="N130" s="201"/>
      <c r="O130" s="204">
        <v>171.67865398370787</v>
      </c>
      <c r="P130" s="205">
        <v>7770745.4059727322</v>
      </c>
      <c r="Q130" s="206">
        <v>11622</v>
      </c>
      <c r="R130" s="205">
        <v>2805946.3982444433</v>
      </c>
      <c r="S130" s="206">
        <v>1158</v>
      </c>
      <c r="T130" s="205">
        <v>11554293.617021274</v>
      </c>
      <c r="U130" s="205">
        <v>27896.279999999992</v>
      </c>
      <c r="V130" s="206">
        <v>126</v>
      </c>
      <c r="W130" s="205">
        <v>61303.854594027289</v>
      </c>
      <c r="X130" s="205">
        <v>199.54000000000002</v>
      </c>
      <c r="Y130" s="206">
        <v>2952</v>
      </c>
      <c r="Z130" s="205">
        <v>8260.6239862608545</v>
      </c>
      <c r="AA130" s="205">
        <v>23</v>
      </c>
      <c r="AB130" s="205">
        <v>157</v>
      </c>
      <c r="AC130" s="205">
        <v>30794.26581433068</v>
      </c>
      <c r="AD130" s="206">
        <v>98</v>
      </c>
    </row>
    <row r="131" spans="1:30" x14ac:dyDescent="0.2">
      <c r="A131" s="198" t="str">
        <f t="shared" si="2"/>
        <v>20239</v>
      </c>
      <c r="B131" s="199">
        <f t="shared" si="3"/>
        <v>2023</v>
      </c>
      <c r="C131" s="200">
        <v>45199</v>
      </c>
      <c r="D131" s="201">
        <v>21567772.719999999</v>
      </c>
      <c r="E131" s="202">
        <v>26</v>
      </c>
      <c r="F131" s="202">
        <v>47</v>
      </c>
      <c r="G131" s="201">
        <v>30</v>
      </c>
      <c r="H131" s="201">
        <v>1</v>
      </c>
      <c r="I131" s="201">
        <v>320</v>
      </c>
      <c r="J131" s="201">
        <v>0</v>
      </c>
      <c r="K131" s="203"/>
      <c r="L131" s="201">
        <v>0</v>
      </c>
      <c r="M131" s="201">
        <v>129</v>
      </c>
      <c r="N131" s="201"/>
      <c r="O131" s="204">
        <v>171.750023348692</v>
      </c>
      <c r="P131" s="205">
        <v>7105585.2972044852</v>
      </c>
      <c r="Q131" s="206">
        <v>11639</v>
      </c>
      <c r="R131" s="205">
        <v>2614642.5913557825</v>
      </c>
      <c r="S131" s="206">
        <v>1175</v>
      </c>
      <c r="T131" s="205">
        <v>10884033.346054764</v>
      </c>
      <c r="U131" s="205">
        <v>28884.979999999992</v>
      </c>
      <c r="V131" s="206">
        <v>126</v>
      </c>
      <c r="W131" s="205">
        <v>67762.932926247493</v>
      </c>
      <c r="X131" s="205">
        <v>199.54000000000002</v>
      </c>
      <c r="Y131" s="206">
        <v>2952</v>
      </c>
      <c r="Z131" s="205">
        <v>8260.6239862608527</v>
      </c>
      <c r="AA131" s="205">
        <v>23</v>
      </c>
      <c r="AB131" s="205">
        <v>157</v>
      </c>
      <c r="AC131" s="205">
        <v>30794.265814330687</v>
      </c>
      <c r="AD131" s="206">
        <v>95</v>
      </c>
    </row>
    <row r="132" spans="1:30" x14ac:dyDescent="0.2">
      <c r="A132" s="3" t="str">
        <f t="shared" ref="A132:A146" si="4">YEAR(C132)&amp;MONTH(C132)</f>
        <v>202310</v>
      </c>
      <c r="B132" s="49">
        <f t="shared" ref="B132:B146" si="5">YEAR(C132)</f>
        <v>2023</v>
      </c>
      <c r="C132" s="52">
        <v>45230</v>
      </c>
      <c r="D132" s="53"/>
      <c r="E132" s="202">
        <f>+(E12+E24+E36+E48+E60+E72+E84+E96+E108+E120)/10</f>
        <v>222.22000000000003</v>
      </c>
      <c r="F132" s="202">
        <f>+(F12+F24+F36+F48+F60+F72+F84+F96+F108+F120)/10</f>
        <v>3.3</v>
      </c>
      <c r="G132" s="53">
        <v>31</v>
      </c>
      <c r="H132" s="53">
        <v>1</v>
      </c>
      <c r="I132" s="53">
        <v>336</v>
      </c>
      <c r="J132" s="53">
        <v>0</v>
      </c>
      <c r="K132" s="55"/>
      <c r="L132" s="53">
        <v>0</v>
      </c>
      <c r="M132" s="247">
        <v>130</v>
      </c>
      <c r="N132" s="53"/>
      <c r="O132" s="56">
        <v>171.82142238298061</v>
      </c>
      <c r="P132" s="209"/>
      <c r="Q132" s="206">
        <v>11657</v>
      </c>
      <c r="R132" s="209"/>
      <c r="S132" s="206">
        <v>1174</v>
      </c>
      <c r="T132" s="209"/>
      <c r="U132" s="209">
        <v>0</v>
      </c>
      <c r="V132" s="206">
        <v>126</v>
      </c>
      <c r="W132" s="209"/>
      <c r="X132" s="209">
        <v>0</v>
      </c>
      <c r="Y132" s="206">
        <v>2952</v>
      </c>
      <c r="Z132" s="209"/>
      <c r="AA132" s="209">
        <v>0</v>
      </c>
      <c r="AB132" s="205">
        <v>157</v>
      </c>
      <c r="AC132" s="209"/>
      <c r="AD132" s="206">
        <v>95</v>
      </c>
    </row>
    <row r="133" spans="1:30" x14ac:dyDescent="0.2">
      <c r="A133" s="3" t="str">
        <f t="shared" si="4"/>
        <v>202311</v>
      </c>
      <c r="B133" s="49">
        <f t="shared" si="5"/>
        <v>2023</v>
      </c>
      <c r="C133" s="52">
        <v>45260</v>
      </c>
      <c r="D133" s="53"/>
      <c r="E133" s="202">
        <f t="shared" ref="E133:F133" si="6">+(E13+E25+E37+E49+E61+E73+E85+E97+E109+E121)/10</f>
        <v>420.84500000000008</v>
      </c>
      <c r="F133" s="202">
        <f t="shared" si="6"/>
        <v>0.09</v>
      </c>
      <c r="G133" s="53">
        <v>30</v>
      </c>
      <c r="H133" s="53">
        <v>1</v>
      </c>
      <c r="I133" s="53">
        <v>352</v>
      </c>
      <c r="J133" s="53">
        <v>0</v>
      </c>
      <c r="K133" s="55"/>
      <c r="L133" s="53">
        <v>0</v>
      </c>
      <c r="M133" s="247">
        <v>131</v>
      </c>
      <c r="N133" s="53"/>
      <c r="O133" s="56">
        <v>171.89285109890767</v>
      </c>
      <c r="P133" s="98">
        <v>0</v>
      </c>
      <c r="Q133" s="206">
        <v>11668</v>
      </c>
      <c r="R133" s="98">
        <v>0</v>
      </c>
      <c r="S133" s="206">
        <v>1175</v>
      </c>
      <c r="T133" s="98">
        <v>0</v>
      </c>
      <c r="U133" s="98">
        <v>0</v>
      </c>
      <c r="V133" s="206">
        <v>126</v>
      </c>
      <c r="W133" s="98">
        <v>0</v>
      </c>
      <c r="X133" s="98">
        <v>0</v>
      </c>
      <c r="Y133" s="206">
        <v>2952</v>
      </c>
      <c r="Z133" s="98">
        <v>0</v>
      </c>
      <c r="AA133" s="98">
        <v>0</v>
      </c>
      <c r="AB133" s="205">
        <v>157</v>
      </c>
      <c r="AC133" s="98">
        <v>0</v>
      </c>
      <c r="AD133" s="206">
        <v>95</v>
      </c>
    </row>
    <row r="134" spans="1:30" x14ac:dyDescent="0.2">
      <c r="A134" s="3" t="str">
        <f t="shared" si="4"/>
        <v>202312</v>
      </c>
      <c r="B134" s="49">
        <f t="shared" si="5"/>
        <v>2023</v>
      </c>
      <c r="C134" s="52">
        <v>45291</v>
      </c>
      <c r="D134" s="53"/>
      <c r="E134" s="202">
        <f t="shared" ref="E134:F134" si="7">+(E14+E26+E38+E50+E62+E74+E86+E98+E110+E122)/10</f>
        <v>579.06000000000006</v>
      </c>
      <c r="F134" s="202">
        <f t="shared" si="7"/>
        <v>0</v>
      </c>
      <c r="G134" s="53">
        <v>31</v>
      </c>
      <c r="H134" s="53">
        <v>0</v>
      </c>
      <c r="I134" s="53">
        <v>304</v>
      </c>
      <c r="J134" s="53">
        <v>0</v>
      </c>
      <c r="K134" s="55"/>
      <c r="L134" s="53">
        <v>0</v>
      </c>
      <c r="M134" s="247">
        <v>132</v>
      </c>
      <c r="N134" s="53"/>
      <c r="O134" s="56">
        <v>171.96430950881222</v>
      </c>
      <c r="P134" s="98">
        <v>0</v>
      </c>
      <c r="Q134" s="206">
        <v>11668</v>
      </c>
      <c r="R134" s="98">
        <v>0</v>
      </c>
      <c r="S134" s="206">
        <v>1175</v>
      </c>
      <c r="T134" s="98">
        <v>0</v>
      </c>
      <c r="U134" s="98">
        <v>0</v>
      </c>
      <c r="V134" s="206">
        <v>127</v>
      </c>
      <c r="W134" s="98">
        <v>0</v>
      </c>
      <c r="X134" s="98">
        <v>0</v>
      </c>
      <c r="Y134" s="206">
        <v>2952</v>
      </c>
      <c r="Z134" s="98">
        <v>0</v>
      </c>
      <c r="AA134" s="98">
        <v>0</v>
      </c>
      <c r="AB134" s="205">
        <v>157</v>
      </c>
      <c r="AC134" s="98">
        <v>0</v>
      </c>
      <c r="AD134" s="206">
        <v>95</v>
      </c>
    </row>
    <row r="135" spans="1:30" x14ac:dyDescent="0.2">
      <c r="A135" s="3" t="str">
        <f t="shared" si="4"/>
        <v>20241</v>
      </c>
      <c r="B135" s="49">
        <f t="shared" si="5"/>
        <v>2024</v>
      </c>
      <c r="C135" s="52">
        <v>45322</v>
      </c>
      <c r="D135" s="53"/>
      <c r="E135" s="202">
        <f t="shared" ref="E135:F135" si="8">+(E15+E27+E39+E51+E63+E75+E87+E99+E111+E123)/10</f>
        <v>703.65</v>
      </c>
      <c r="F135" s="202">
        <f t="shared" si="8"/>
        <v>0</v>
      </c>
      <c r="G135" s="53">
        <v>31</v>
      </c>
      <c r="H135" s="53">
        <v>0</v>
      </c>
      <c r="I135" s="53">
        <v>352</v>
      </c>
      <c r="J135" s="53">
        <v>0</v>
      </c>
      <c r="K135" s="55"/>
      <c r="L135" s="53">
        <v>0</v>
      </c>
      <c r="M135" s="247">
        <v>133</v>
      </c>
      <c r="N135" s="53"/>
      <c r="O135" s="56">
        <v>172.19193081591357</v>
      </c>
      <c r="P135" s="98">
        <v>0</v>
      </c>
      <c r="Q135">
        <v>0</v>
      </c>
      <c r="R135" s="98">
        <v>0</v>
      </c>
      <c r="S135">
        <v>0</v>
      </c>
      <c r="T135" s="98">
        <v>0</v>
      </c>
      <c r="U135" s="98">
        <v>0</v>
      </c>
      <c r="V135">
        <v>0</v>
      </c>
      <c r="W135" s="98">
        <v>0</v>
      </c>
      <c r="X135" s="98">
        <v>0</v>
      </c>
      <c r="Y135">
        <v>0</v>
      </c>
      <c r="Z135" s="98">
        <v>0</v>
      </c>
      <c r="AA135" s="98">
        <v>0</v>
      </c>
      <c r="AB135" s="98">
        <v>0</v>
      </c>
      <c r="AC135" s="98">
        <v>0</v>
      </c>
    </row>
    <row r="136" spans="1:30" x14ac:dyDescent="0.2">
      <c r="A136" s="3" t="str">
        <f t="shared" si="4"/>
        <v>20242</v>
      </c>
      <c r="B136" s="49">
        <f t="shared" si="5"/>
        <v>2024</v>
      </c>
      <c r="C136" s="52">
        <v>45351</v>
      </c>
      <c r="D136" s="53"/>
      <c r="E136" s="202">
        <f t="shared" ref="E136:F136" si="9">+(E16+E28+E40+E52+E64+E76+E88+E100+E112+E124)/10</f>
        <v>630.40499999999997</v>
      </c>
      <c r="F136" s="202">
        <f t="shared" si="9"/>
        <v>0</v>
      </c>
      <c r="G136" s="53">
        <v>29</v>
      </c>
      <c r="H136" s="53">
        <v>0</v>
      </c>
      <c r="I136" s="53">
        <v>320</v>
      </c>
      <c r="J136" s="53">
        <v>0</v>
      </c>
      <c r="K136" s="55"/>
      <c r="L136" s="53">
        <v>0</v>
      </c>
      <c r="M136" s="247">
        <v>134</v>
      </c>
      <c r="N136" s="53"/>
      <c r="O136" s="56">
        <v>172.41985341494924</v>
      </c>
      <c r="P136" s="98">
        <v>0</v>
      </c>
      <c r="Q136">
        <v>0</v>
      </c>
      <c r="R136" s="98">
        <v>0</v>
      </c>
      <c r="S136">
        <v>0</v>
      </c>
      <c r="T136" s="98">
        <v>0</v>
      </c>
      <c r="U136" s="98">
        <v>0</v>
      </c>
      <c r="V136">
        <v>0</v>
      </c>
      <c r="W136" s="98">
        <v>0</v>
      </c>
      <c r="X136" s="98">
        <v>0</v>
      </c>
      <c r="Y136">
        <v>0</v>
      </c>
      <c r="Z136" s="98">
        <v>0</v>
      </c>
      <c r="AA136" s="98">
        <v>0</v>
      </c>
      <c r="AB136" s="98">
        <v>0</v>
      </c>
      <c r="AC136" s="98">
        <v>0</v>
      </c>
    </row>
    <row r="137" spans="1:30" x14ac:dyDescent="0.2">
      <c r="A137" s="3" t="str">
        <f t="shared" si="4"/>
        <v>20243</v>
      </c>
      <c r="B137" s="49">
        <f t="shared" si="5"/>
        <v>2024</v>
      </c>
      <c r="C137" s="52">
        <v>45382</v>
      </c>
      <c r="D137" s="53"/>
      <c r="E137" s="202">
        <f t="shared" ref="E137:F137" si="10">+(E17+E29+E41+E53+E65+E77+E89+E101+E113+E125)/10</f>
        <v>547.82999999999993</v>
      </c>
      <c r="F137" s="202">
        <f t="shared" si="10"/>
        <v>0</v>
      </c>
      <c r="G137" s="53">
        <v>31</v>
      </c>
      <c r="H137" s="53">
        <v>1</v>
      </c>
      <c r="I137" s="53">
        <v>320</v>
      </c>
      <c r="J137" s="53">
        <v>0</v>
      </c>
      <c r="K137" s="55"/>
      <c r="L137" s="53">
        <v>0</v>
      </c>
      <c r="M137" s="247">
        <v>135</v>
      </c>
      <c r="N137" s="53"/>
      <c r="O137" s="56">
        <v>172.64807770472564</v>
      </c>
      <c r="P137" s="98">
        <v>0</v>
      </c>
      <c r="Q137">
        <v>0</v>
      </c>
      <c r="R137" s="98">
        <v>0</v>
      </c>
      <c r="S137">
        <v>0</v>
      </c>
      <c r="T137" s="98">
        <v>0</v>
      </c>
      <c r="U137" s="98">
        <v>0</v>
      </c>
      <c r="V137">
        <v>0</v>
      </c>
      <c r="W137" s="98">
        <v>0</v>
      </c>
      <c r="X137" s="98">
        <v>0</v>
      </c>
      <c r="Y137">
        <v>0</v>
      </c>
      <c r="Z137" s="98">
        <v>0</v>
      </c>
      <c r="AA137" s="98">
        <v>0</v>
      </c>
      <c r="AB137" s="98">
        <v>0</v>
      </c>
      <c r="AC137" s="98">
        <v>0</v>
      </c>
    </row>
    <row r="138" spans="1:30" x14ac:dyDescent="0.2">
      <c r="A138" s="3" t="str">
        <f t="shared" si="4"/>
        <v>20244</v>
      </c>
      <c r="B138" s="49">
        <f t="shared" si="5"/>
        <v>2024</v>
      </c>
      <c r="C138" s="52">
        <v>45412</v>
      </c>
      <c r="D138" s="53"/>
      <c r="E138" s="202">
        <f t="shared" ref="E138:F138" si="11">+(E18+E30+E42+E54+E66+E78+E90+E102+E114+E126)/10</f>
        <v>338.72500000000002</v>
      </c>
      <c r="F138" s="202">
        <f t="shared" si="11"/>
        <v>0.71000000000000008</v>
      </c>
      <c r="G138" s="53">
        <v>30</v>
      </c>
      <c r="H138" s="53">
        <v>1</v>
      </c>
      <c r="I138" s="53">
        <v>352</v>
      </c>
      <c r="J138" s="53">
        <v>0</v>
      </c>
      <c r="K138" s="55"/>
      <c r="L138" s="53">
        <v>0</v>
      </c>
      <c r="M138" s="247">
        <v>136</v>
      </c>
      <c r="N138" s="53"/>
      <c r="O138" s="56">
        <v>172.876604084577</v>
      </c>
      <c r="P138" s="98">
        <v>0</v>
      </c>
      <c r="Q138">
        <v>0</v>
      </c>
      <c r="R138" s="98">
        <v>0</v>
      </c>
      <c r="S138">
        <v>0</v>
      </c>
      <c r="T138" s="98">
        <v>0</v>
      </c>
      <c r="U138" s="98">
        <v>0</v>
      </c>
      <c r="V138">
        <v>0</v>
      </c>
      <c r="W138" s="98">
        <v>0</v>
      </c>
      <c r="X138" s="98">
        <v>0</v>
      </c>
      <c r="Y138">
        <v>0</v>
      </c>
      <c r="Z138" s="98">
        <v>0</v>
      </c>
      <c r="AA138" s="98">
        <v>0</v>
      </c>
      <c r="AB138" s="98">
        <v>0</v>
      </c>
      <c r="AC138" s="98">
        <v>0</v>
      </c>
    </row>
    <row r="139" spans="1:30" x14ac:dyDescent="0.2">
      <c r="A139" s="3" t="str">
        <f t="shared" si="4"/>
        <v>20245</v>
      </c>
      <c r="B139" s="49">
        <f t="shared" si="5"/>
        <v>2024</v>
      </c>
      <c r="C139" s="52">
        <v>45443</v>
      </c>
      <c r="D139" s="53"/>
      <c r="E139" s="202">
        <f t="shared" ref="E139:F139" si="12">+(E19+E31+E43+E55+E67+E79+E91+E103+E115+E127)/10</f>
        <v>144.06</v>
      </c>
      <c r="F139" s="202">
        <f t="shared" si="12"/>
        <v>23.914999999999999</v>
      </c>
      <c r="G139" s="53">
        <v>31</v>
      </c>
      <c r="H139" s="53">
        <v>1</v>
      </c>
      <c r="I139" s="53">
        <v>352</v>
      </c>
      <c r="J139" s="53">
        <v>0</v>
      </c>
      <c r="K139" s="55"/>
      <c r="L139" s="53">
        <v>0</v>
      </c>
      <c r="M139" s="247">
        <v>137</v>
      </c>
      <c r="N139" s="53"/>
      <c r="O139" s="56">
        <v>173.10543295436617</v>
      </c>
      <c r="P139" s="98">
        <v>0</v>
      </c>
      <c r="Q139">
        <v>0</v>
      </c>
      <c r="R139" s="98">
        <v>0</v>
      </c>
      <c r="S139">
        <v>0</v>
      </c>
      <c r="T139" s="98">
        <v>0</v>
      </c>
      <c r="U139" s="98">
        <v>0</v>
      </c>
      <c r="V139">
        <v>0</v>
      </c>
      <c r="W139" s="98">
        <v>0</v>
      </c>
      <c r="X139" s="98">
        <v>0</v>
      </c>
      <c r="Y139">
        <v>0</v>
      </c>
      <c r="Z139" s="98">
        <v>0</v>
      </c>
      <c r="AA139" s="98">
        <v>0</v>
      </c>
      <c r="AB139" s="98">
        <v>0</v>
      </c>
      <c r="AC139" s="98">
        <v>0</v>
      </c>
    </row>
    <row r="140" spans="1:30" x14ac:dyDescent="0.2">
      <c r="A140" s="3" t="str">
        <f t="shared" si="4"/>
        <v>20246</v>
      </c>
      <c r="B140" s="49">
        <f t="shared" si="5"/>
        <v>2024</v>
      </c>
      <c r="C140" s="52">
        <v>45473</v>
      </c>
      <c r="D140" s="53"/>
      <c r="E140" s="202">
        <f t="shared" ref="E140:F140" si="13">+(E20+E32+E44+E56+E68+E80+E92+E104+E116+E128)/10</f>
        <v>21.37</v>
      </c>
      <c r="F140" s="202">
        <f t="shared" si="13"/>
        <v>69.710000000000008</v>
      </c>
      <c r="G140" s="53">
        <v>30</v>
      </c>
      <c r="H140" s="53">
        <v>0</v>
      </c>
      <c r="I140" s="53">
        <v>320</v>
      </c>
      <c r="J140" s="53">
        <v>0</v>
      </c>
      <c r="K140" s="55"/>
      <c r="L140" s="53">
        <v>0</v>
      </c>
      <c r="M140" s="247">
        <v>138</v>
      </c>
      <c r="N140" s="53"/>
      <c r="O140" s="56">
        <v>173.33456471448525</v>
      </c>
      <c r="P140" s="98">
        <v>0</v>
      </c>
      <c r="Q140">
        <v>0</v>
      </c>
      <c r="R140" s="98">
        <v>0</v>
      </c>
      <c r="S140">
        <v>0</v>
      </c>
      <c r="T140" s="98">
        <v>0</v>
      </c>
      <c r="U140" s="98">
        <v>0</v>
      </c>
      <c r="V140">
        <v>0</v>
      </c>
      <c r="W140" s="98">
        <v>0</v>
      </c>
      <c r="X140" s="98">
        <v>0</v>
      </c>
      <c r="Y140">
        <v>0</v>
      </c>
      <c r="Z140" s="98">
        <v>0</v>
      </c>
      <c r="AA140" s="98">
        <v>0</v>
      </c>
      <c r="AB140" s="98">
        <v>0</v>
      </c>
      <c r="AC140" s="98">
        <v>0</v>
      </c>
    </row>
    <row r="141" spans="1:30" x14ac:dyDescent="0.2">
      <c r="A141" s="3" t="str">
        <f t="shared" si="4"/>
        <v>20247</v>
      </c>
      <c r="B141" s="49">
        <f t="shared" si="5"/>
        <v>2024</v>
      </c>
      <c r="C141" s="52">
        <v>45504</v>
      </c>
      <c r="D141" s="53"/>
      <c r="E141" s="202">
        <f t="shared" ref="E141:F141" si="14">+(E21+E33+E45+E57+E69+E81+E93+E105+E117+E129)/10</f>
        <v>1.24</v>
      </c>
      <c r="F141" s="202">
        <f t="shared" si="14"/>
        <v>140.78500000000003</v>
      </c>
      <c r="G141" s="53">
        <v>31</v>
      </c>
      <c r="H141" s="53">
        <v>0</v>
      </c>
      <c r="I141" s="53">
        <v>352</v>
      </c>
      <c r="J141" s="53">
        <v>0</v>
      </c>
      <c r="K141" s="55"/>
      <c r="L141" s="53">
        <v>0</v>
      </c>
      <c r="M141" s="247">
        <v>139</v>
      </c>
      <c r="N141" s="53"/>
      <c r="O141" s="56">
        <v>173.56399976585638</v>
      </c>
      <c r="P141" s="98">
        <v>0</v>
      </c>
      <c r="Q141">
        <v>0</v>
      </c>
      <c r="R141" s="98">
        <v>0</v>
      </c>
      <c r="S141">
        <v>0</v>
      </c>
      <c r="T141" s="98">
        <v>0</v>
      </c>
      <c r="U141" s="98">
        <v>0</v>
      </c>
      <c r="V141">
        <v>0</v>
      </c>
      <c r="W141" s="98">
        <v>0</v>
      </c>
      <c r="X141" s="98">
        <v>0</v>
      </c>
      <c r="Y141">
        <v>0</v>
      </c>
      <c r="Z141" s="98">
        <v>0</v>
      </c>
      <c r="AA141" s="98">
        <v>0</v>
      </c>
      <c r="AB141" s="98">
        <v>0</v>
      </c>
      <c r="AC141" s="98">
        <v>0</v>
      </c>
    </row>
    <row r="142" spans="1:30" x14ac:dyDescent="0.2">
      <c r="A142" s="3" t="str">
        <f t="shared" si="4"/>
        <v>20248</v>
      </c>
      <c r="B142" s="49">
        <f t="shared" si="5"/>
        <v>2024</v>
      </c>
      <c r="C142" s="52">
        <v>45535</v>
      </c>
      <c r="D142" s="53"/>
      <c r="E142" s="202">
        <f t="shared" ref="E142:F142" si="15">+(E22+E34+E46+E58+E70+E82+E94+E106+E118+E130)/10</f>
        <v>3.5549999999999997</v>
      </c>
      <c r="F142" s="202">
        <f t="shared" si="15"/>
        <v>122.37</v>
      </c>
      <c r="G142" s="53">
        <v>31</v>
      </c>
      <c r="H142" s="53">
        <v>0</v>
      </c>
      <c r="I142" s="53">
        <v>352</v>
      </c>
      <c r="J142" s="53">
        <v>0</v>
      </c>
      <c r="K142" s="55"/>
      <c r="L142" s="53">
        <v>0</v>
      </c>
      <c r="M142" s="247">
        <v>140</v>
      </c>
      <c r="N142" s="53"/>
      <c r="O142" s="56">
        <v>173.79373850993233</v>
      </c>
      <c r="P142" s="98">
        <v>0</v>
      </c>
      <c r="Q142">
        <v>0</v>
      </c>
      <c r="R142" s="98">
        <v>0</v>
      </c>
      <c r="S142">
        <v>0</v>
      </c>
      <c r="T142" s="98">
        <v>0</v>
      </c>
      <c r="U142" s="98">
        <v>0</v>
      </c>
      <c r="V142">
        <v>0</v>
      </c>
      <c r="W142" s="98">
        <v>0</v>
      </c>
      <c r="X142" s="98">
        <v>0</v>
      </c>
      <c r="Y142">
        <v>0</v>
      </c>
      <c r="Z142" s="98">
        <v>0</v>
      </c>
      <c r="AA142" s="98">
        <v>0</v>
      </c>
      <c r="AB142" s="98">
        <v>0</v>
      </c>
      <c r="AC142" s="98">
        <v>0</v>
      </c>
    </row>
    <row r="143" spans="1:30" x14ac:dyDescent="0.2">
      <c r="A143" s="3" t="str">
        <f t="shared" si="4"/>
        <v>20249</v>
      </c>
      <c r="B143" s="49">
        <f t="shared" si="5"/>
        <v>2024</v>
      </c>
      <c r="C143" s="52">
        <v>45565</v>
      </c>
      <c r="D143" s="53"/>
      <c r="E143" s="202">
        <f t="shared" ref="E143:F143" si="16">+(E23+E35+E47+E59+E71+E83+E95+E107+E119+E131)/10</f>
        <v>44.225000000000009</v>
      </c>
      <c r="F143" s="202">
        <f t="shared" si="16"/>
        <v>50.904999999999987</v>
      </c>
      <c r="G143" s="53">
        <v>30</v>
      </c>
      <c r="H143" s="53">
        <v>1</v>
      </c>
      <c r="I143" s="53">
        <v>320</v>
      </c>
      <c r="J143" s="53">
        <v>0</v>
      </c>
      <c r="K143" s="55"/>
      <c r="L143" s="53">
        <v>0</v>
      </c>
      <c r="M143" s="247">
        <v>141</v>
      </c>
      <c r="N143" s="53"/>
      <c r="O143" s="56">
        <v>174.02378134869727</v>
      </c>
      <c r="P143" s="98">
        <v>0</v>
      </c>
      <c r="Q143">
        <v>0</v>
      </c>
      <c r="R143" s="98">
        <v>0</v>
      </c>
      <c r="S143">
        <v>0</v>
      </c>
      <c r="T143" s="98">
        <v>0</v>
      </c>
      <c r="U143" s="98">
        <v>0</v>
      </c>
      <c r="V143">
        <v>0</v>
      </c>
      <c r="W143" s="98">
        <v>0</v>
      </c>
      <c r="X143" s="98">
        <v>0</v>
      </c>
      <c r="Y143">
        <v>0</v>
      </c>
      <c r="Z143" s="98">
        <v>0</v>
      </c>
      <c r="AA143" s="98">
        <v>0</v>
      </c>
      <c r="AB143" s="98">
        <v>0</v>
      </c>
      <c r="AC143" s="98">
        <v>0</v>
      </c>
    </row>
    <row r="144" spans="1:30" x14ac:dyDescent="0.2">
      <c r="A144" s="3" t="str">
        <f t="shared" si="4"/>
        <v>202410</v>
      </c>
      <c r="B144" s="49">
        <f t="shared" si="5"/>
        <v>2024</v>
      </c>
      <c r="C144" s="52">
        <v>45596</v>
      </c>
      <c r="D144" s="53"/>
      <c r="E144" s="202">
        <f>+E132</f>
        <v>222.22000000000003</v>
      </c>
      <c r="F144" s="202">
        <f>+F132</f>
        <v>3.3</v>
      </c>
      <c r="G144" s="53">
        <v>31</v>
      </c>
      <c r="H144" s="53">
        <v>1</v>
      </c>
      <c r="I144" s="53">
        <v>352</v>
      </c>
      <c r="J144" s="53">
        <v>0</v>
      </c>
      <c r="K144" s="55"/>
      <c r="L144" s="53">
        <v>0</v>
      </c>
      <c r="M144" s="247">
        <v>142</v>
      </c>
      <c r="N144" s="53"/>
      <c r="O144" s="56">
        <v>174.25412868466748</v>
      </c>
      <c r="P144" s="98">
        <v>0</v>
      </c>
      <c r="Q144">
        <v>0</v>
      </c>
      <c r="R144" s="98">
        <v>0</v>
      </c>
      <c r="S144">
        <v>0</v>
      </c>
      <c r="T144" s="98">
        <v>0</v>
      </c>
      <c r="U144" s="98">
        <v>0</v>
      </c>
      <c r="V144">
        <v>0</v>
      </c>
      <c r="W144" s="98">
        <v>0</v>
      </c>
      <c r="X144" s="98">
        <v>0</v>
      </c>
      <c r="Y144">
        <v>0</v>
      </c>
      <c r="Z144" s="98">
        <v>0</v>
      </c>
      <c r="AA144" s="98">
        <v>0</v>
      </c>
      <c r="AB144" s="98">
        <v>0</v>
      </c>
      <c r="AC144" s="98">
        <v>0</v>
      </c>
    </row>
    <row r="145" spans="1:29" x14ac:dyDescent="0.2">
      <c r="A145" s="3" t="str">
        <f t="shared" si="4"/>
        <v>202411</v>
      </c>
      <c r="B145" s="49">
        <f t="shared" si="5"/>
        <v>2024</v>
      </c>
      <c r="C145" s="52">
        <v>45626</v>
      </c>
      <c r="D145" s="53"/>
      <c r="E145" s="202">
        <f t="shared" ref="E145:F145" si="17">+E133</f>
        <v>420.84500000000008</v>
      </c>
      <c r="F145" s="202">
        <f t="shared" si="17"/>
        <v>0.09</v>
      </c>
      <c r="G145" s="53">
        <v>30</v>
      </c>
      <c r="H145" s="53">
        <v>1</v>
      </c>
      <c r="I145" s="53">
        <v>336</v>
      </c>
      <c r="J145" s="53">
        <v>0</v>
      </c>
      <c r="K145" s="55"/>
      <c r="L145" s="53">
        <v>0</v>
      </c>
      <c r="M145" s="247">
        <v>143</v>
      </c>
      <c r="N145" s="53"/>
      <c r="O145" s="56">
        <v>174.48478092089198</v>
      </c>
      <c r="P145" s="98">
        <v>0</v>
      </c>
      <c r="Q145">
        <v>0</v>
      </c>
      <c r="R145" s="98">
        <v>0</v>
      </c>
      <c r="S145">
        <v>0</v>
      </c>
      <c r="T145" s="98">
        <v>0</v>
      </c>
      <c r="U145" s="98">
        <v>0</v>
      </c>
      <c r="V145">
        <v>0</v>
      </c>
      <c r="W145" s="98">
        <v>0</v>
      </c>
      <c r="X145" s="98">
        <v>0</v>
      </c>
      <c r="Y145">
        <v>0</v>
      </c>
      <c r="Z145" s="98">
        <v>0</v>
      </c>
      <c r="AA145" s="98"/>
      <c r="AB145" s="98">
        <v>0</v>
      </c>
      <c r="AC145" s="98">
        <v>0</v>
      </c>
    </row>
    <row r="146" spans="1:29" x14ac:dyDescent="0.2">
      <c r="A146" s="3" t="str">
        <f t="shared" si="4"/>
        <v>202412</v>
      </c>
      <c r="B146" s="49">
        <f t="shared" si="5"/>
        <v>2024</v>
      </c>
      <c r="C146" s="52">
        <v>45657</v>
      </c>
      <c r="D146" s="53"/>
      <c r="E146" s="202">
        <f t="shared" ref="E146:F146" si="18">+E134</f>
        <v>579.06000000000006</v>
      </c>
      <c r="F146" s="202">
        <f t="shared" si="18"/>
        <v>0</v>
      </c>
      <c r="G146" s="53">
        <v>31</v>
      </c>
      <c r="H146" s="53">
        <v>0</v>
      </c>
      <c r="I146" s="53">
        <v>320</v>
      </c>
      <c r="J146" s="53">
        <v>0</v>
      </c>
      <c r="K146" s="55"/>
      <c r="L146" s="53">
        <v>0</v>
      </c>
      <c r="M146" s="247">
        <v>144</v>
      </c>
      <c r="N146" s="53"/>
      <c r="O146" s="56">
        <v>174.71573846095322</v>
      </c>
      <c r="P146" s="98">
        <v>0</v>
      </c>
      <c r="Q146">
        <v>0</v>
      </c>
      <c r="R146" s="98">
        <v>0</v>
      </c>
      <c r="S146">
        <v>0</v>
      </c>
      <c r="T146" s="98">
        <v>0</v>
      </c>
      <c r="U146" s="98">
        <v>0</v>
      </c>
      <c r="V146">
        <v>0</v>
      </c>
      <c r="W146" s="98">
        <v>0</v>
      </c>
      <c r="X146" s="98">
        <v>0</v>
      </c>
      <c r="Y146">
        <v>0</v>
      </c>
      <c r="Z146" s="98">
        <v>0</v>
      </c>
      <c r="AA146" s="98">
        <v>0</v>
      </c>
      <c r="AB146" s="98">
        <v>0</v>
      </c>
      <c r="AC146" s="98">
        <v>0</v>
      </c>
    </row>
    <row r="147" spans="1:29" x14ac:dyDescent="0.2">
      <c r="C147" s="38"/>
      <c r="G147" s="10"/>
      <c r="H147" s="10"/>
      <c r="J147" s="10"/>
    </row>
    <row r="148" spans="1:29" x14ac:dyDescent="0.2">
      <c r="C148" s="38"/>
      <c r="G148" s="10"/>
      <c r="H148" s="10"/>
      <c r="J148" s="10"/>
    </row>
    <row r="149" spans="1:29" x14ac:dyDescent="0.2"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R149"/>
      <c r="T149"/>
      <c r="U149"/>
    </row>
    <row r="150" spans="1:29" x14ac:dyDescent="0.2"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R150"/>
      <c r="T150"/>
      <c r="U150"/>
    </row>
    <row r="151" spans="1:29" x14ac:dyDescent="0.2"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R151"/>
      <c r="T151"/>
      <c r="U151"/>
    </row>
    <row r="152" spans="1:29" x14ac:dyDescent="0.2"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R152"/>
      <c r="T152"/>
      <c r="U152"/>
    </row>
    <row r="153" spans="1:29" x14ac:dyDescent="0.2"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R153"/>
      <c r="T153"/>
      <c r="U153"/>
    </row>
    <row r="154" spans="1:29" x14ac:dyDescent="0.2"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R154"/>
      <c r="T154"/>
      <c r="U154"/>
    </row>
    <row r="155" spans="1:29" x14ac:dyDescent="0.2"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R155"/>
      <c r="T155"/>
      <c r="U155"/>
    </row>
    <row r="156" spans="1:29" x14ac:dyDescent="0.2"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R156"/>
      <c r="T156"/>
      <c r="U156"/>
    </row>
    <row r="157" spans="1:29" x14ac:dyDescent="0.2">
      <c r="C157"/>
    </row>
    <row r="158" spans="1:29" x14ac:dyDescent="0.2">
      <c r="C158"/>
    </row>
    <row r="159" spans="1:29" x14ac:dyDescent="0.2">
      <c r="C159"/>
    </row>
    <row r="160" spans="1:29" x14ac:dyDescent="0.2">
      <c r="C160"/>
    </row>
    <row r="161" spans="3:21" x14ac:dyDescent="0.2">
      <c r="C161"/>
    </row>
    <row r="162" spans="3:21" x14ac:dyDescent="0.2">
      <c r="C162"/>
    </row>
    <row r="163" spans="3:21" x14ac:dyDescent="0.2">
      <c r="C163"/>
    </row>
    <row r="164" spans="3:21" x14ac:dyDescent="0.2">
      <c r="C164"/>
    </row>
    <row r="165" spans="3:21" x14ac:dyDescent="0.2">
      <c r="C165"/>
    </row>
    <row r="166" spans="3:21" x14ac:dyDescent="0.2">
      <c r="C166"/>
    </row>
    <row r="167" spans="3:21" x14ac:dyDescent="0.2">
      <c r="C167"/>
    </row>
    <row r="168" spans="3:21" x14ac:dyDescent="0.2"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R168"/>
      <c r="T168"/>
      <c r="U168"/>
    </row>
    <row r="169" spans="3:21" x14ac:dyDescent="0.2"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R169"/>
      <c r="T169"/>
      <c r="U16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7</vt:i4>
      </vt:variant>
    </vt:vector>
  </HeadingPairs>
  <TitlesOfParts>
    <vt:vector size="16" baseType="lpstr">
      <vt:lpstr>Summary</vt:lpstr>
      <vt:lpstr>Purchd Power Model Weather norm</vt:lpstr>
      <vt:lpstr>Purchased Power Model</vt:lpstr>
      <vt:lpstr>Rate Class Energy Model</vt:lpstr>
      <vt:lpstr>Rate Class Customer Model</vt:lpstr>
      <vt:lpstr>Rate Class Load Model</vt:lpstr>
      <vt:lpstr>2024 RPP non-RPP COP</vt:lpstr>
      <vt:lpstr>Summaries</vt:lpstr>
      <vt:lpstr>Inputs</vt:lpstr>
      <vt:lpstr>'Purchased Power Model'!Print_Area</vt:lpstr>
      <vt:lpstr>'Purchd Power Model Weather norm'!Print_Area</vt:lpstr>
      <vt:lpstr>'Rate Class Customer Model'!Print_Area</vt:lpstr>
      <vt:lpstr>'Rate Class Load Model'!Print_Area</vt:lpstr>
      <vt:lpstr>Summary!Print_Area</vt:lpstr>
      <vt:lpstr>'Purchased Power Model'!Print_Titles</vt:lpstr>
      <vt:lpstr>'Purchd Power Model Weather norm'!Print_Titles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_</dc:title>
  <dc:creator/>
  <cp:lastModifiedBy/>
  <cp:lastPrinted>2014-03-06T15:42:29Z</cp:lastPrinted>
  <dcterms:created xsi:type="dcterms:W3CDTF">2014-03-06T15:42:29Z</dcterms:created>
  <dcterms:modified xsi:type="dcterms:W3CDTF">2024-03-12T19:55:17Z</dcterms:modified>
</cp:coreProperties>
</file>