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L:\00 REGULATORY AFFAIRS\REVENUE REQUIREMENT SUBMISSIONS\EB-2024-0004 IESO 2024-2025 RRS - Amendment\10_CLARIFICATION QUESTIONS\Combined Clarification Questions Submitted to OEB March 14 2024\"/>
    </mc:Choice>
  </mc:AlternateContent>
  <bookViews>
    <workbookView xWindow="0" yWindow="0" windowWidth="20490" windowHeight="5820" tabRatio="818" firstSheet="7" activeTab="11"/>
  </bookViews>
  <sheets>
    <sheet name="Cover Page" sheetId="85" r:id="rId1"/>
    <sheet name="Functionalized Accounts" sheetId="31" r:id="rId2"/>
    <sheet name="Assets" sheetId="63" r:id="rId3"/>
    <sheet name="Revenue" sheetId="79" r:id="rId4"/>
    <sheet name="Energy Throughput" sheetId="35" r:id="rId5"/>
    <sheet name="Revenue to Cost|RR" sheetId="57" r:id="rId6"/>
    <sheet name="Summary by Class &amp; Accounts" sheetId="56" r:id="rId7"/>
    <sheet name="Source Data for Allocators" sheetId="82" r:id="rId8"/>
    <sheet name="Allocators" sheetId="36" r:id="rId9"/>
    <sheet name="TB Allocation Details" sheetId="40" r:id="rId10"/>
    <sheet name="Reconciliation" sheetId="44" r:id="rId11"/>
    <sheet name="Summary" sheetId="83" r:id="rId12"/>
  </sheets>
  <definedNames>
    <definedName name="_xlnm._FilterDatabase" localSheetId="6" hidden="1">'Summary by Class &amp; Accounts'!#REF!</definedName>
    <definedName name="EV__LASTREFTIME__" hidden="1">42156.4315740741</definedName>
    <definedName name="_xlnm.Print_Area" localSheetId="8">Allocators!$A$1:$E$33</definedName>
    <definedName name="_xlnm.Print_Area" localSheetId="2">Assets!$B$1:$I$31</definedName>
    <definedName name="_xlnm.Print_Area" localSheetId="0">'Cover Page'!$A$1:$O$78</definedName>
    <definedName name="_xlnm.Print_Area" localSheetId="4">'Energy Throughput'!$A$1:$E$17</definedName>
    <definedName name="_xlnm.Print_Area" localSheetId="1">'Functionalized Accounts'!$B$1:$G$35</definedName>
    <definedName name="_xlnm.Print_Area" localSheetId="10">Reconciliation!$A$1:$E$57</definedName>
    <definedName name="_xlnm.Print_Area" localSheetId="3">Revenue!$A$1:$D$23</definedName>
    <definedName name="_xlnm.Print_Area" localSheetId="5">'Revenue to Cost|RR'!$A$1:$E$51</definedName>
    <definedName name="_xlnm.Print_Area" localSheetId="7">'Source Data for Allocators'!$A$1:$E$66</definedName>
    <definedName name="_xlnm.Print_Area" localSheetId="6">'Summary by Class &amp; Accounts'!$B$1:$F$59</definedName>
    <definedName name="_xlnm.Print_Area" localSheetId="9">'TB Allocation Details'!$A$1:$F$59</definedName>
    <definedName name="_xlnm.Print_Titles" localSheetId="2">Assets!$A:$B,Assets!$1:$6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79" l="1"/>
  <c r="C12" i="79"/>
  <c r="E1" i="31" l="1"/>
  <c r="C1" i="44" l="1"/>
  <c r="C1" i="40"/>
  <c r="D1" i="36"/>
  <c r="E1" i="82"/>
  <c r="E1" i="56"/>
  <c r="E1" i="57"/>
  <c r="E1" i="35"/>
  <c r="D1" i="79"/>
  <c r="E1" i="63"/>
  <c r="K36" i="57"/>
  <c r="K35" i="57"/>
  <c r="J36" i="57"/>
  <c r="J35" i="57"/>
  <c r="I36" i="57"/>
  <c r="I35" i="57"/>
  <c r="K43" i="83"/>
  <c r="L43" i="83"/>
  <c r="C9" i="35" l="1"/>
  <c r="C47" i="40"/>
  <c r="B47" i="83" s="1"/>
  <c r="C48" i="40"/>
  <c r="B48" i="83" s="1"/>
  <c r="C44" i="40"/>
  <c r="B43" i="83" s="1"/>
  <c r="C45" i="40"/>
  <c r="B44" i="83" s="1"/>
  <c r="C46" i="40"/>
  <c r="B46" i="83" s="1"/>
  <c r="C30" i="40"/>
  <c r="B29" i="83" s="1"/>
  <c r="C31" i="40"/>
  <c r="B30" i="83" s="1"/>
  <c r="C32" i="40"/>
  <c r="B31" i="83" s="1"/>
  <c r="C33" i="40"/>
  <c r="B32" i="83" s="1"/>
  <c r="C34" i="40"/>
  <c r="B33" i="83" s="1"/>
  <c r="C35" i="40"/>
  <c r="B34" i="83" s="1"/>
  <c r="C36" i="40"/>
  <c r="B35" i="83" s="1"/>
  <c r="C37" i="40"/>
  <c r="B36" i="83" s="1"/>
  <c r="C38" i="40"/>
  <c r="B37" i="83" s="1"/>
  <c r="C39" i="40"/>
  <c r="B38" i="83" s="1"/>
  <c r="C40" i="40"/>
  <c r="B39" i="83" s="1"/>
  <c r="C41" i="40"/>
  <c r="B40" i="83" s="1"/>
  <c r="C42" i="40"/>
  <c r="B41" i="83" s="1"/>
  <c r="C43" i="40"/>
  <c r="B42" i="83" s="1"/>
  <c r="C15" i="40"/>
  <c r="B14" i="83" s="1"/>
  <c r="C16" i="40"/>
  <c r="B15" i="83" s="1"/>
  <c r="C17" i="40"/>
  <c r="B16" i="83" s="1"/>
  <c r="C18" i="40"/>
  <c r="B17" i="83" s="1"/>
  <c r="C19" i="40"/>
  <c r="B18" i="83" s="1"/>
  <c r="C20" i="40"/>
  <c r="B19" i="83" s="1"/>
  <c r="C21" i="40"/>
  <c r="B20" i="83" s="1"/>
  <c r="C22" i="40"/>
  <c r="B21" i="83" s="1"/>
  <c r="C23" i="40"/>
  <c r="B22" i="83" s="1"/>
  <c r="C24" i="40"/>
  <c r="B23" i="83" s="1"/>
  <c r="C25" i="40"/>
  <c r="B24" i="83" s="1"/>
  <c r="C26" i="40"/>
  <c r="B25" i="83" s="1"/>
  <c r="C27" i="40"/>
  <c r="B26" i="83" s="1"/>
  <c r="C28" i="40"/>
  <c r="B27" i="83" s="1"/>
  <c r="C29" i="40"/>
  <c r="B28" i="83" s="1"/>
  <c r="C10" i="40"/>
  <c r="B9" i="83" s="1"/>
  <c r="C11" i="40"/>
  <c r="B10" i="83" s="1"/>
  <c r="C12" i="40"/>
  <c r="B11" i="83" s="1"/>
  <c r="C13" i="40"/>
  <c r="B12" i="83" s="1"/>
  <c r="C14" i="40"/>
  <c r="B13" i="83" s="1"/>
  <c r="C7" i="40"/>
  <c r="B6" i="83" s="1"/>
  <c r="C8" i="40"/>
  <c r="B7" i="83" s="1"/>
  <c r="C9" i="40"/>
  <c r="B8" i="83" s="1"/>
  <c r="C6" i="40"/>
  <c r="B5" i="83" s="1"/>
  <c r="B51" i="56"/>
  <c r="B47" i="40"/>
  <c r="B27" i="40"/>
  <c r="B29" i="40"/>
  <c r="B31" i="40"/>
  <c r="B11" i="44"/>
  <c r="B12" i="44"/>
  <c r="B13" i="40"/>
  <c r="B17" i="40"/>
  <c r="B21" i="40"/>
  <c r="B28" i="56"/>
  <c r="B30" i="44" l="1"/>
  <c r="A22" i="83"/>
  <c r="C22" i="83"/>
  <c r="C10" i="83"/>
  <c r="A10" i="83"/>
  <c r="C44" i="83"/>
  <c r="A44" i="83"/>
  <c r="C21" i="83"/>
  <c r="A21" i="83"/>
  <c r="A17" i="83"/>
  <c r="C17" i="83"/>
  <c r="C13" i="83"/>
  <c r="A13" i="83"/>
  <c r="A9" i="83"/>
  <c r="C9" i="83"/>
  <c r="C39" i="83"/>
  <c r="A39" i="83"/>
  <c r="A31" i="83"/>
  <c r="C31" i="83"/>
  <c r="B31" i="44"/>
  <c r="A27" i="83"/>
  <c r="C27" i="83"/>
  <c r="A41" i="83"/>
  <c r="C41" i="83"/>
  <c r="B47" i="56"/>
  <c r="A43" i="83"/>
  <c r="B40" i="40"/>
  <c r="B44" i="40"/>
  <c r="B43" i="44"/>
  <c r="B47" i="44"/>
  <c r="B45" i="56"/>
  <c r="C18" i="83"/>
  <c r="A18" i="83"/>
  <c r="C40" i="83"/>
  <c r="A40" i="83"/>
  <c r="A32" i="83"/>
  <c r="C32" i="83"/>
  <c r="A28" i="83"/>
  <c r="C28" i="83"/>
  <c r="B10" i="56"/>
  <c r="B39" i="82" s="1"/>
  <c r="A6" i="83"/>
  <c r="C6" i="83"/>
  <c r="B48" i="44"/>
  <c r="A5" i="83"/>
  <c r="A24" i="83"/>
  <c r="C24" i="83"/>
  <c r="B24" i="56"/>
  <c r="C20" i="83"/>
  <c r="A20" i="83"/>
  <c r="C16" i="83"/>
  <c r="A16" i="83"/>
  <c r="B16" i="56"/>
  <c r="C12" i="83"/>
  <c r="E12" i="83" s="1"/>
  <c r="A12" i="83"/>
  <c r="C8" i="83"/>
  <c r="A8" i="83"/>
  <c r="C38" i="83"/>
  <c r="A38" i="83"/>
  <c r="C34" i="83"/>
  <c r="A34" i="83"/>
  <c r="A30" i="83"/>
  <c r="C30" i="83"/>
  <c r="A26" i="83"/>
  <c r="C26" i="83"/>
  <c r="C47" i="83"/>
  <c r="A47" i="83"/>
  <c r="B42" i="40"/>
  <c r="B42" i="44"/>
  <c r="B44" i="44"/>
  <c r="A14" i="83"/>
  <c r="C14" i="83"/>
  <c r="C42" i="83"/>
  <c r="A42" i="83"/>
  <c r="A23" i="83"/>
  <c r="C23" i="83"/>
  <c r="A19" i="83"/>
  <c r="C19" i="83"/>
  <c r="E19" i="83" s="1"/>
  <c r="A15" i="83"/>
  <c r="C15" i="83"/>
  <c r="E15" i="83" s="1"/>
  <c r="A11" i="83"/>
  <c r="C11" i="83"/>
  <c r="A7" i="83"/>
  <c r="C7" i="83"/>
  <c r="A37" i="83"/>
  <c r="C37" i="83"/>
  <c r="A33" i="83"/>
  <c r="C33" i="83"/>
  <c r="B30" i="40"/>
  <c r="A29" i="83"/>
  <c r="C29" i="83"/>
  <c r="B29" i="44"/>
  <c r="A25" i="83"/>
  <c r="C25" i="83"/>
  <c r="B49" i="44"/>
  <c r="A46" i="83"/>
  <c r="C46" i="83"/>
  <c r="A48" i="83"/>
  <c r="C48" i="83"/>
  <c r="E48" i="83" s="1"/>
  <c r="B9" i="40"/>
  <c r="B25" i="40"/>
  <c r="B35" i="40"/>
  <c r="B34" i="44"/>
  <c r="B38" i="44"/>
  <c r="B51" i="44"/>
  <c r="B50" i="56"/>
  <c r="C35" i="83"/>
  <c r="A35" i="83"/>
  <c r="C36" i="83"/>
  <c r="A36" i="83"/>
  <c r="B7" i="40"/>
  <c r="B23" i="40"/>
  <c r="B19" i="40"/>
  <c r="B22" i="44"/>
  <c r="B18" i="44"/>
  <c r="B26" i="56"/>
  <c r="B22" i="56"/>
  <c r="B14" i="56"/>
  <c r="B37" i="56"/>
  <c r="B61" i="82" s="1"/>
  <c r="B33" i="56"/>
  <c r="B29" i="56"/>
  <c r="B41" i="56"/>
  <c r="B8" i="40"/>
  <c r="B14" i="40"/>
  <c r="B12" i="40"/>
  <c r="B10" i="40"/>
  <c r="B28" i="40"/>
  <c r="B26" i="40"/>
  <c r="B24" i="40"/>
  <c r="B22" i="40"/>
  <c r="B20" i="40"/>
  <c r="B18" i="40"/>
  <c r="B16" i="40"/>
  <c r="B43" i="40"/>
  <c r="B41" i="40"/>
  <c r="B39" i="40"/>
  <c r="B37" i="40"/>
  <c r="B14" i="44"/>
  <c r="B10" i="44"/>
  <c r="B32" i="44"/>
  <c r="B28" i="44"/>
  <c r="B24" i="44"/>
  <c r="B20" i="44"/>
  <c r="B16" i="44"/>
  <c r="B41" i="44"/>
  <c r="B36" i="44"/>
  <c r="B46" i="44"/>
  <c r="B50" i="44"/>
  <c r="B20" i="56"/>
  <c r="B49" i="82" s="1"/>
  <c r="B12" i="56"/>
  <c r="B35" i="56"/>
  <c r="B31" i="56"/>
  <c r="B55" i="82" s="1"/>
  <c r="B43" i="56"/>
  <c r="B63" i="82" s="1"/>
  <c r="B39" i="56"/>
  <c r="B49" i="56"/>
  <c r="B11" i="40"/>
  <c r="B15" i="40"/>
  <c r="B38" i="40"/>
  <c r="B26" i="44"/>
  <c r="B18" i="56"/>
  <c r="B33" i="40"/>
  <c r="B46" i="40"/>
  <c r="B33" i="44"/>
  <c r="B25" i="44"/>
  <c r="B21" i="44"/>
  <c r="B17" i="44"/>
  <c r="B37" i="44"/>
  <c r="B25" i="56"/>
  <c r="B21" i="56"/>
  <c r="B17" i="56"/>
  <c r="B13" i="56"/>
  <c r="B36" i="56"/>
  <c r="B32" i="56"/>
  <c r="B44" i="56"/>
  <c r="B40" i="56"/>
  <c r="B34" i="40"/>
  <c r="B32" i="40"/>
  <c r="B45" i="40"/>
  <c r="B48" i="40"/>
  <c r="B13" i="44"/>
  <c r="B35" i="44"/>
  <c r="B27" i="44"/>
  <c r="B23" i="44"/>
  <c r="B19" i="44"/>
  <c r="B15" i="44"/>
  <c r="B40" i="44"/>
  <c r="B45" i="44"/>
  <c r="B27" i="56"/>
  <c r="B23" i="56"/>
  <c r="B19" i="56"/>
  <c r="B15" i="56"/>
  <c r="B44" i="82" s="1"/>
  <c r="B11" i="56"/>
  <c r="B34" i="56"/>
  <c r="B30" i="56"/>
  <c r="B54" i="82" s="1"/>
  <c r="B46" i="56"/>
  <c r="B42" i="56"/>
  <c r="B38" i="56"/>
  <c r="B62" i="82" s="1"/>
  <c r="B48" i="56"/>
  <c r="B64" i="82" s="1"/>
  <c r="B36" i="40"/>
  <c r="B39" i="44"/>
  <c r="B52" i="44"/>
  <c r="B53" i="44"/>
  <c r="B54" i="44"/>
  <c r="B55" i="44"/>
  <c r="B56" i="44"/>
  <c r="F33" i="31" l="1"/>
  <c r="D33" i="56" s="1"/>
  <c r="I16" i="83"/>
  <c r="F46" i="31"/>
  <c r="F50" i="31"/>
  <c r="C43" i="83"/>
  <c r="F47" i="31"/>
  <c r="E31" i="83"/>
  <c r="F31" i="83"/>
  <c r="F49" i="31"/>
  <c r="F51" i="31"/>
  <c r="I11" i="83"/>
  <c r="F48" i="31"/>
  <c r="I14" i="63"/>
  <c r="B58" i="82"/>
  <c r="E14" i="83"/>
  <c r="C5" i="83"/>
  <c r="C33" i="44" l="1"/>
  <c r="D49" i="56"/>
  <c r="C49" i="44"/>
  <c r="D51" i="56"/>
  <c r="C51" i="44"/>
  <c r="D50" i="56"/>
  <c r="C50" i="44"/>
  <c r="C47" i="44"/>
  <c r="D47" i="56"/>
  <c r="C48" i="44"/>
  <c r="D48" i="56"/>
  <c r="C64" i="82" s="1"/>
  <c r="C46" i="44"/>
  <c r="D46" i="56"/>
  <c r="K40" i="83"/>
  <c r="L40" i="83"/>
  <c r="K45" i="83"/>
  <c r="L45" i="83"/>
  <c r="W45" i="83"/>
  <c r="X45" i="83"/>
  <c r="L13" i="83"/>
  <c r="R13" i="83" s="1"/>
  <c r="X13" i="83" s="1"/>
  <c r="K14" i="83"/>
  <c r="Q14" i="83" s="1"/>
  <c r="W14" i="83" s="1"/>
  <c r="L14" i="83"/>
  <c r="R14" i="83" s="1"/>
  <c r="X14" i="83" s="1"/>
  <c r="L17" i="83"/>
  <c r="R17" i="83" s="1"/>
  <c r="X17" i="83" s="1"/>
  <c r="L18" i="83"/>
  <c r="R18" i="83" s="1"/>
  <c r="X18" i="83" s="1"/>
  <c r="L20" i="83"/>
  <c r="R20" i="83" s="1"/>
  <c r="X20" i="83" s="1"/>
  <c r="L21" i="83"/>
  <c r="R21" i="83" s="1"/>
  <c r="K23" i="83"/>
  <c r="L23" i="83"/>
  <c r="K24" i="83"/>
  <c r="L24" i="83"/>
  <c r="K25" i="83"/>
  <c r="L25" i="83"/>
  <c r="L32" i="83"/>
  <c r="R32" i="83" s="1"/>
  <c r="X32" i="83" s="1"/>
  <c r="K35" i="83"/>
  <c r="L35" i="83"/>
  <c r="K36" i="83"/>
  <c r="L36" i="83"/>
  <c r="K38" i="83"/>
  <c r="L38" i="83"/>
  <c r="L5" i="83"/>
  <c r="K5" i="83"/>
  <c r="E32" i="83"/>
  <c r="K32" i="83" s="1"/>
  <c r="Q32" i="83" s="1"/>
  <c r="W32" i="83" s="1"/>
  <c r="K21" i="83"/>
  <c r="Q21" i="83" s="1"/>
  <c r="E20" i="83"/>
  <c r="K20" i="83" s="1"/>
  <c r="Q20" i="83" s="1"/>
  <c r="W20" i="83" s="1"/>
  <c r="E18" i="83"/>
  <c r="K18" i="83" s="1"/>
  <c r="Q18" i="83" s="1"/>
  <c r="W18" i="83" s="1"/>
  <c r="E17" i="83"/>
  <c r="E13" i="83"/>
  <c r="K13" i="83" l="1"/>
  <c r="Q13" i="83" s="1"/>
  <c r="W13" i="83" s="1"/>
  <c r="H11" i="83"/>
  <c r="K17" i="83"/>
  <c r="Q17" i="83" s="1"/>
  <c r="W17" i="83" s="1"/>
  <c r="H16" i="83"/>
  <c r="K16" i="83" s="1"/>
  <c r="Q16" i="83" s="1"/>
  <c r="W16" i="83" s="1"/>
  <c r="L16" i="83" l="1"/>
  <c r="R16" i="83" s="1"/>
  <c r="X16" i="83" s="1"/>
  <c r="B47" i="82"/>
  <c r="F16" i="31"/>
  <c r="D16" i="56" s="1"/>
  <c r="F17" i="31"/>
  <c r="D17" i="56" s="1"/>
  <c r="F18" i="31"/>
  <c r="D18" i="56" s="1"/>
  <c r="F19" i="31"/>
  <c r="D19" i="56" s="1"/>
  <c r="F20" i="31"/>
  <c r="D20" i="56" s="1"/>
  <c r="C49" i="82" s="1"/>
  <c r="F21" i="31"/>
  <c r="D21" i="56" s="1"/>
  <c r="F22" i="31"/>
  <c r="D22" i="56" s="1"/>
  <c r="F23" i="31"/>
  <c r="D23" i="56" s="1"/>
  <c r="F24" i="31"/>
  <c r="D24" i="56" s="1"/>
  <c r="F25" i="31"/>
  <c r="D25" i="56" s="1"/>
  <c r="F26" i="31"/>
  <c r="D26" i="56" s="1"/>
  <c r="F27" i="31"/>
  <c r="D27" i="56" s="1"/>
  <c r="F28" i="31"/>
  <c r="D28" i="56" s="1"/>
  <c r="C21" i="44" l="1"/>
  <c r="C28" i="44"/>
  <c r="C16" i="44"/>
  <c r="C19" i="44"/>
  <c r="C25" i="44"/>
  <c r="C17" i="44"/>
  <c r="C24" i="44"/>
  <c r="C20" i="44"/>
  <c r="C27" i="44"/>
  <c r="C23" i="44"/>
  <c r="C26" i="44"/>
  <c r="C22" i="44"/>
  <c r="C18" i="44"/>
  <c r="C47" i="82"/>
  <c r="F8" i="63" l="1"/>
  <c r="D11" i="35" l="1"/>
  <c r="D12" i="63" l="1"/>
  <c r="D10" i="35" l="1"/>
  <c r="D12" i="35" s="1"/>
  <c r="E10" i="35"/>
  <c r="E12" i="35" s="1"/>
  <c r="F9" i="63"/>
  <c r="C12" i="35" l="1"/>
  <c r="C15" i="35" s="1"/>
  <c r="F41" i="57" s="1"/>
  <c r="C20" i="82"/>
  <c r="F60" i="31" l="1"/>
  <c r="C55" i="44" s="1"/>
  <c r="F59" i="31"/>
  <c r="C54" i="44" s="1"/>
  <c r="F58" i="31"/>
  <c r="C53" i="44" s="1"/>
  <c r="F57" i="31"/>
  <c r="C52" i="44" s="1"/>
  <c r="B53" i="56"/>
  <c r="B54" i="56"/>
  <c r="B55" i="56"/>
  <c r="B52" i="56"/>
  <c r="B59" i="82"/>
  <c r="B60" i="82"/>
  <c r="B56" i="56"/>
  <c r="B51" i="82" l="1"/>
  <c r="B56" i="82"/>
  <c r="B57" i="82"/>
  <c r="B52" i="82"/>
  <c r="B46" i="82"/>
  <c r="B45" i="82"/>
  <c r="B50" i="82"/>
  <c r="B53" i="82"/>
  <c r="B48" i="82"/>
  <c r="B43" i="82"/>
  <c r="B1" i="63" l="1"/>
  <c r="B7" i="63"/>
  <c r="B8" i="63"/>
  <c r="B9" i="63"/>
  <c r="B10" i="63"/>
  <c r="E8" i="57" l="1"/>
  <c r="D8" i="57"/>
  <c r="E5" i="35"/>
  <c r="D5" i="35"/>
  <c r="D5" i="82" l="1"/>
  <c r="G25" i="57"/>
  <c r="E9" i="36"/>
  <c r="G26" i="57"/>
  <c r="E8" i="56"/>
  <c r="D9" i="36"/>
  <c r="E5" i="82"/>
  <c r="F8" i="56"/>
  <c r="E62" i="31"/>
  <c r="D62" i="31"/>
  <c r="E52" i="31"/>
  <c r="D52" i="31"/>
  <c r="F15" i="31"/>
  <c r="D15" i="56" s="1"/>
  <c r="C44" i="82" s="1"/>
  <c r="F14" i="31"/>
  <c r="D14" i="56" s="1"/>
  <c r="F13" i="31"/>
  <c r="D13" i="56" s="1"/>
  <c r="F12" i="31"/>
  <c r="D12" i="56" s="1"/>
  <c r="F11" i="31"/>
  <c r="D11" i="56" s="1"/>
  <c r="F51" i="56" l="1"/>
  <c r="E34" i="57" s="1"/>
  <c r="F24" i="56"/>
  <c r="E53" i="82" s="1"/>
  <c r="F23" i="56"/>
  <c r="F17" i="56"/>
  <c r="F18" i="56"/>
  <c r="E47" i="82" s="1"/>
  <c r="F16" i="56"/>
  <c r="F22" i="56"/>
  <c r="F21" i="56"/>
  <c r="F19" i="56"/>
  <c r="E51" i="56"/>
  <c r="E24" i="56"/>
  <c r="D53" i="82" s="1"/>
  <c r="E23" i="56"/>
  <c r="E17" i="56"/>
  <c r="E18" i="56"/>
  <c r="D47" i="82" s="1"/>
  <c r="E21" i="56"/>
  <c r="E19" i="56"/>
  <c r="E16" i="56"/>
  <c r="E22" i="56"/>
  <c r="C13" i="44"/>
  <c r="C12" i="44"/>
  <c r="C14" i="44"/>
  <c r="C11" i="44"/>
  <c r="C15" i="44"/>
  <c r="C43" i="82"/>
  <c r="C42" i="82"/>
  <c r="C48" i="82"/>
  <c r="C46" i="82"/>
  <c r="C45" i="82"/>
  <c r="B42" i="82"/>
  <c r="B41" i="82"/>
  <c r="D34" i="57" l="1"/>
  <c r="C34" i="57" s="1"/>
  <c r="D51" i="44"/>
  <c r="D22" i="44"/>
  <c r="E22" i="44" s="1"/>
  <c r="D21" i="44"/>
  <c r="E21" i="44" s="1"/>
  <c r="D18" i="44"/>
  <c r="E18" i="44" s="1"/>
  <c r="D17" i="44"/>
  <c r="E17" i="44" s="1"/>
  <c r="E29" i="36"/>
  <c r="F20" i="56" s="1"/>
  <c r="E49" i="82" s="1"/>
  <c r="D23" i="44"/>
  <c r="E23" i="44" s="1"/>
  <c r="D19" i="44"/>
  <c r="E19" i="44" s="1"/>
  <c r="D29" i="36"/>
  <c r="E20" i="56" s="1"/>
  <c r="D49" i="82" s="1"/>
  <c r="D24" i="44"/>
  <c r="E24" i="44" s="1"/>
  <c r="D16" i="44"/>
  <c r="E16" i="44" s="1"/>
  <c r="D28" i="36"/>
  <c r="E15" i="56" s="1"/>
  <c r="D44" i="82" s="1"/>
  <c r="C41" i="82"/>
  <c r="C10" i="63"/>
  <c r="E10" i="63" s="1"/>
  <c r="C9" i="63"/>
  <c r="C8" i="63"/>
  <c r="E8" i="63" s="1"/>
  <c r="G8" i="63" s="1"/>
  <c r="C7" i="63"/>
  <c r="F45" i="31"/>
  <c r="F44" i="31"/>
  <c r="F43" i="31"/>
  <c r="F42" i="31"/>
  <c r="F41" i="31"/>
  <c r="F37" i="31"/>
  <c r="F39" i="31"/>
  <c r="F38" i="31"/>
  <c r="F36" i="31"/>
  <c r="F35" i="31"/>
  <c r="F34" i="31"/>
  <c r="F32" i="31"/>
  <c r="D32" i="56" s="1"/>
  <c r="F31" i="31"/>
  <c r="D31" i="56" s="1"/>
  <c r="C55" i="82" s="1"/>
  <c r="F30" i="31"/>
  <c r="D30" i="56" s="1"/>
  <c r="C54" i="82" s="1"/>
  <c r="F29" i="31"/>
  <c r="D29" i="56" s="1"/>
  <c r="F10" i="31"/>
  <c r="F40" i="31"/>
  <c r="F9" i="31"/>
  <c r="F61" i="31"/>
  <c r="C56" i="44" s="1"/>
  <c r="A1" i="44"/>
  <c r="G61" i="31"/>
  <c r="G57" i="31"/>
  <c r="C29" i="44" l="1"/>
  <c r="D39" i="56"/>
  <c r="C39" i="44"/>
  <c r="C30" i="44"/>
  <c r="C35" i="44"/>
  <c r="D35" i="56"/>
  <c r="C37" i="44"/>
  <c r="D37" i="56"/>
  <c r="C61" i="82" s="1"/>
  <c r="C44" i="44"/>
  <c r="D44" i="56"/>
  <c r="D43" i="56"/>
  <c r="C63" i="82" s="1"/>
  <c r="C43" i="44"/>
  <c r="C34" i="44"/>
  <c r="D34" i="56"/>
  <c r="C58" i="82" s="1"/>
  <c r="C40" i="44"/>
  <c r="D40" i="56"/>
  <c r="C31" i="44"/>
  <c r="C36" i="44"/>
  <c r="D36" i="56"/>
  <c r="C41" i="44"/>
  <c r="D41" i="56"/>
  <c r="C45" i="44"/>
  <c r="D45" i="56"/>
  <c r="C10" i="44"/>
  <c r="D10" i="56"/>
  <c r="C39" i="82" s="1"/>
  <c r="C32" i="44"/>
  <c r="C38" i="44"/>
  <c r="D38" i="56"/>
  <c r="C62" i="82" s="1"/>
  <c r="C42" i="44"/>
  <c r="D42" i="56"/>
  <c r="D14" i="63"/>
  <c r="E9" i="63"/>
  <c r="G9" i="63" s="1"/>
  <c r="E7" i="63"/>
  <c r="C12" i="63"/>
  <c r="F52" i="31"/>
  <c r="F4" i="31" s="1"/>
  <c r="F62" i="31"/>
  <c r="E14" i="63" s="1"/>
  <c r="F35" i="56" l="1"/>
  <c r="E35" i="56"/>
  <c r="C59" i="82"/>
  <c r="E36" i="56"/>
  <c r="F36" i="56"/>
  <c r="G7" i="63"/>
  <c r="E12" i="63"/>
  <c r="F5" i="31"/>
  <c r="D35" i="44" l="1"/>
  <c r="E35" i="44" s="1"/>
  <c r="D36" i="44"/>
  <c r="E36" i="44" s="1"/>
  <c r="G12" i="63"/>
  <c r="H8" i="63" s="1"/>
  <c r="E41" i="57"/>
  <c r="C50" i="40"/>
  <c r="A1" i="57"/>
  <c r="A1" i="35"/>
  <c r="A1" i="79"/>
  <c r="A1" i="40"/>
  <c r="A1" i="36"/>
  <c r="C19" i="82"/>
  <c r="C18" i="82"/>
  <c r="C17" i="82"/>
  <c r="B40" i="82"/>
  <c r="B11" i="82"/>
  <c r="B10" i="82"/>
  <c r="B9" i="82"/>
  <c r="B18" i="82" s="1"/>
  <c r="B8" i="82"/>
  <c r="B17" i="82" s="1"/>
  <c r="B53" i="40"/>
  <c r="B52" i="40"/>
  <c r="B51" i="40"/>
  <c r="B50" i="40"/>
  <c r="B49" i="40"/>
  <c r="I7" i="63" l="1"/>
  <c r="I8" i="63"/>
  <c r="I10" i="63"/>
  <c r="I9" i="63"/>
  <c r="H7" i="63"/>
  <c r="H9" i="63"/>
  <c r="H10" i="63"/>
  <c r="C51" i="40"/>
  <c r="G58" i="31"/>
  <c r="D55" i="56"/>
  <c r="D54" i="56"/>
  <c r="B20" i="82"/>
  <c r="B32" i="82"/>
  <c r="B19" i="82"/>
  <c r="B31" i="82"/>
  <c r="D53" i="56"/>
  <c r="B29" i="82"/>
  <c r="D56" i="56"/>
  <c r="D52" i="56"/>
  <c r="B30" i="82"/>
  <c r="I12" i="63" l="1"/>
  <c r="C52" i="40"/>
  <c r="G59" i="31"/>
  <c r="G60" i="31" l="1"/>
  <c r="B1" i="31"/>
  <c r="D10" i="79" l="1"/>
  <c r="D14" i="79" s="1"/>
  <c r="B6" i="40"/>
  <c r="C52" i="82" l="1"/>
  <c r="C51" i="82"/>
  <c r="D51" i="82"/>
  <c r="E51" i="82"/>
  <c r="C53" i="82"/>
  <c r="B19" i="79"/>
  <c r="C20" i="79" s="1"/>
  <c r="E10" i="57"/>
  <c r="D20" i="79" l="1"/>
  <c r="D21" i="79" s="1"/>
  <c r="E14" i="57" s="1"/>
  <c r="C40" i="82" l="1"/>
  <c r="D9" i="56"/>
  <c r="C50" i="82" l="1"/>
  <c r="C56" i="82"/>
  <c r="E50" i="82" l="1"/>
  <c r="D50" i="82"/>
  <c r="C24" i="36"/>
  <c r="C23" i="36"/>
  <c r="C29" i="36" l="1"/>
  <c r="D20" i="44"/>
  <c r="E20" i="44" s="1"/>
  <c r="B9" i="44"/>
  <c r="B9" i="56" l="1"/>
  <c r="E60" i="82" l="1"/>
  <c r="D60" i="82"/>
  <c r="C60" i="82"/>
  <c r="E46" i="82"/>
  <c r="D46" i="82"/>
  <c r="C9" i="44"/>
  <c r="C57" i="44" l="1"/>
  <c r="C31" i="82" l="1"/>
  <c r="C29" i="82"/>
  <c r="C32" i="82"/>
  <c r="C30" i="82"/>
  <c r="C25" i="36" l="1"/>
  <c r="C57" i="82" l="1"/>
  <c r="C66" i="82" s="1"/>
  <c r="D58" i="56"/>
  <c r="D13" i="35" l="1"/>
  <c r="C10" i="79" l="1"/>
  <c r="C14" i="79" s="1"/>
  <c r="D41" i="57"/>
  <c r="E13" i="36"/>
  <c r="F14" i="56" l="1"/>
  <c r="F31" i="56"/>
  <c r="F12" i="56"/>
  <c r="F33" i="56"/>
  <c r="F11" i="56"/>
  <c r="F48" i="56"/>
  <c r="E64" i="82" s="1"/>
  <c r="F13" i="56"/>
  <c r="F32" i="56"/>
  <c r="F49" i="56"/>
  <c r="F50" i="56"/>
  <c r="F34" i="56"/>
  <c r="F50" i="83"/>
  <c r="F53" i="56"/>
  <c r="E9" i="82" s="1"/>
  <c r="F54" i="56"/>
  <c r="E10" i="82" s="1"/>
  <c r="F52" i="56"/>
  <c r="E8" i="82" s="1"/>
  <c r="F55" i="56"/>
  <c r="E11" i="82" s="1"/>
  <c r="E52" i="82"/>
  <c r="E59" i="82"/>
  <c r="C41" i="57"/>
  <c r="C13" i="35"/>
  <c r="E14" i="36" s="1"/>
  <c r="D13" i="36"/>
  <c r="C21" i="79"/>
  <c r="D14" i="57" s="1"/>
  <c r="F9" i="83" l="1"/>
  <c r="L9" i="83" s="1"/>
  <c r="R9" i="83" s="1"/>
  <c r="X9" i="83" s="1"/>
  <c r="F28" i="83"/>
  <c r="F30" i="83"/>
  <c r="L30" i="83" s="1"/>
  <c r="R30" i="83" s="1"/>
  <c r="X30" i="83" s="1"/>
  <c r="F27" i="83"/>
  <c r="F34" i="83"/>
  <c r="L34" i="83" s="1"/>
  <c r="F33" i="83"/>
  <c r="L33" i="83" s="1"/>
  <c r="R33" i="83" s="1"/>
  <c r="F10" i="83"/>
  <c r="L10" i="83" s="1"/>
  <c r="R10" i="83" s="1"/>
  <c r="X10" i="83" s="1"/>
  <c r="F44" i="83"/>
  <c r="L44" i="83" s="1"/>
  <c r="R44" i="83" s="1"/>
  <c r="X44" i="83" s="1"/>
  <c r="F46" i="83"/>
  <c r="L46" i="83" s="1"/>
  <c r="F29" i="83"/>
  <c r="L29" i="83" s="1"/>
  <c r="R29" i="83" s="1"/>
  <c r="X29" i="83" s="1"/>
  <c r="F47" i="83"/>
  <c r="L47" i="83" s="1"/>
  <c r="R47" i="83" s="1"/>
  <c r="X47" i="83" s="1"/>
  <c r="F7" i="83"/>
  <c r="F39" i="83"/>
  <c r="L39" i="83" s="1"/>
  <c r="E55" i="82"/>
  <c r="E58" i="82"/>
  <c r="E29" i="57"/>
  <c r="E30" i="57"/>
  <c r="E27" i="36"/>
  <c r="E50" i="56"/>
  <c r="E13" i="56"/>
  <c r="D42" i="82" s="1"/>
  <c r="E11" i="56"/>
  <c r="D11" i="44" s="1"/>
  <c r="E11" i="44" s="1"/>
  <c r="E14" i="56"/>
  <c r="D43" i="82" s="1"/>
  <c r="E31" i="56"/>
  <c r="E12" i="56"/>
  <c r="D12" i="44" s="1"/>
  <c r="E12" i="44" s="1"/>
  <c r="E33" i="56"/>
  <c r="E32" i="56"/>
  <c r="E49" i="56"/>
  <c r="E48" i="56"/>
  <c r="E34" i="56"/>
  <c r="E51" i="44"/>
  <c r="E43" i="82"/>
  <c r="E57" i="82"/>
  <c r="E42" i="82"/>
  <c r="E45" i="82"/>
  <c r="L19" i="83"/>
  <c r="R19" i="83" s="1"/>
  <c r="X19" i="83" s="1"/>
  <c r="L22" i="83"/>
  <c r="L42" i="83"/>
  <c r="L11" i="83"/>
  <c r="R11" i="83" s="1"/>
  <c r="X11" i="83" s="1"/>
  <c r="L31" i="83"/>
  <c r="R31" i="83" s="1"/>
  <c r="X31" i="83" s="1"/>
  <c r="L41" i="83"/>
  <c r="L37" i="83"/>
  <c r="L12" i="83"/>
  <c r="R12" i="83" s="1"/>
  <c r="X12" i="83" s="1"/>
  <c r="L48" i="83"/>
  <c r="R48" i="83" s="1"/>
  <c r="X48" i="83" s="1"/>
  <c r="F8" i="83"/>
  <c r="L8" i="83" s="1"/>
  <c r="R8" i="83" s="1"/>
  <c r="X8" i="83" s="1"/>
  <c r="E50" i="83"/>
  <c r="E48" i="82"/>
  <c r="E54" i="56"/>
  <c r="D54" i="44" s="1"/>
  <c r="E54" i="44" s="1"/>
  <c r="E53" i="56"/>
  <c r="D53" i="44" s="1"/>
  <c r="E53" i="44" s="1"/>
  <c r="E52" i="56"/>
  <c r="D52" i="44" s="1"/>
  <c r="E52" i="44" s="1"/>
  <c r="E55" i="56"/>
  <c r="D55" i="44" s="1"/>
  <c r="E55" i="44" s="1"/>
  <c r="D52" i="82"/>
  <c r="D59" i="82"/>
  <c r="E41" i="82"/>
  <c r="B14" i="79"/>
  <c r="D10" i="57"/>
  <c r="D14" i="36"/>
  <c r="C14" i="36" s="1"/>
  <c r="C14" i="57"/>
  <c r="E26" i="57"/>
  <c r="C13" i="36"/>
  <c r="I6" i="83" l="1"/>
  <c r="L6" i="83" s="1"/>
  <c r="I26" i="83"/>
  <c r="L26" i="83" s="1"/>
  <c r="L27" i="83"/>
  <c r="E44" i="83"/>
  <c r="K44" i="83" s="1"/>
  <c r="Q44" i="83" s="1"/>
  <c r="W44" i="83" s="1"/>
  <c r="E8" i="83"/>
  <c r="K8" i="83" s="1"/>
  <c r="Q8" i="83" s="1"/>
  <c r="W8" i="83" s="1"/>
  <c r="E46" i="83"/>
  <c r="K46" i="83" s="1"/>
  <c r="E29" i="83"/>
  <c r="K29" i="83" s="1"/>
  <c r="Q29" i="83" s="1"/>
  <c r="W29" i="83" s="1"/>
  <c r="E7" i="83"/>
  <c r="E39" i="83"/>
  <c r="K39" i="83" s="1"/>
  <c r="Q39" i="83" s="1"/>
  <c r="E34" i="83"/>
  <c r="K34" i="83" s="1"/>
  <c r="E33" i="83"/>
  <c r="K33" i="83" s="1"/>
  <c r="Q33" i="83" s="1"/>
  <c r="E47" i="83"/>
  <c r="K47" i="83" s="1"/>
  <c r="Q47" i="83" s="1"/>
  <c r="W47" i="83" s="1"/>
  <c r="E10" i="83"/>
  <c r="K10" i="83" s="1"/>
  <c r="Q10" i="83" s="1"/>
  <c r="W10" i="83" s="1"/>
  <c r="E9" i="83"/>
  <c r="K9" i="83" s="1"/>
  <c r="Q9" i="83" s="1"/>
  <c r="W9" i="83" s="1"/>
  <c r="E28" i="83"/>
  <c r="E27" i="83"/>
  <c r="E30" i="83"/>
  <c r="K30" i="83" s="1"/>
  <c r="Q30" i="83" s="1"/>
  <c r="W30" i="83" s="1"/>
  <c r="D55" i="82"/>
  <c r="D34" i="44"/>
  <c r="E34" i="44" s="1"/>
  <c r="D50" i="44"/>
  <c r="E50" i="44" s="1"/>
  <c r="D33" i="44"/>
  <c r="E33" i="44" s="1"/>
  <c r="D49" i="44"/>
  <c r="E49" i="44" s="1"/>
  <c r="D13" i="44"/>
  <c r="E13" i="44" s="1"/>
  <c r="D27" i="36"/>
  <c r="D14" i="44"/>
  <c r="E14" i="44" s="1"/>
  <c r="D64" i="82"/>
  <c r="D48" i="44"/>
  <c r="E48" i="44" s="1"/>
  <c r="E56" i="82"/>
  <c r="E28" i="36"/>
  <c r="F15" i="56" s="1"/>
  <c r="D45" i="82"/>
  <c r="I15" i="83"/>
  <c r="L15" i="83" s="1"/>
  <c r="R15" i="83" s="1"/>
  <c r="X15" i="83" s="1"/>
  <c r="L28" i="83"/>
  <c r="R28" i="83" s="1"/>
  <c r="X28" i="83" s="1"/>
  <c r="L7" i="83"/>
  <c r="R7" i="83" s="1"/>
  <c r="X7" i="83" s="1"/>
  <c r="D57" i="82"/>
  <c r="D58" i="82"/>
  <c r="K42" i="83"/>
  <c r="K31" i="83"/>
  <c r="Q31" i="83" s="1"/>
  <c r="W31" i="83" s="1"/>
  <c r="K11" i="83"/>
  <c r="Q11" i="83" s="1"/>
  <c r="W11" i="83" s="1"/>
  <c r="K41" i="83"/>
  <c r="K22" i="83"/>
  <c r="K12" i="83"/>
  <c r="Q12" i="83" s="1"/>
  <c r="W12" i="83" s="1"/>
  <c r="K37" i="83"/>
  <c r="K19" i="83"/>
  <c r="Q19" i="83" s="1"/>
  <c r="W19" i="83" s="1"/>
  <c r="K48" i="83"/>
  <c r="Q48" i="83" s="1"/>
  <c r="W48" i="83" s="1"/>
  <c r="D48" i="82"/>
  <c r="D10" i="82"/>
  <c r="D8" i="82"/>
  <c r="D32" i="44"/>
  <c r="E32" i="44" s="1"/>
  <c r="D41" i="82"/>
  <c r="D26" i="57"/>
  <c r="D29" i="57"/>
  <c r="C29" i="57" s="1"/>
  <c r="D9" i="82"/>
  <c r="D30" i="57"/>
  <c r="C10" i="57"/>
  <c r="D11" i="82"/>
  <c r="H26" i="83" l="1"/>
  <c r="K26" i="83" s="1"/>
  <c r="K27" i="83"/>
  <c r="H6" i="83"/>
  <c r="K6" i="83" s="1"/>
  <c r="E20" i="57"/>
  <c r="E44" i="82"/>
  <c r="K15" i="83"/>
  <c r="Q15" i="83" s="1"/>
  <c r="W15" i="83" s="1"/>
  <c r="K28" i="83"/>
  <c r="Q28" i="83" s="1"/>
  <c r="W28" i="83" s="1"/>
  <c r="D56" i="82"/>
  <c r="C26" i="57"/>
  <c r="C30" i="57"/>
  <c r="K7" i="83"/>
  <c r="Q7" i="83" s="1"/>
  <c r="W7" i="83" s="1"/>
  <c r="C11" i="82"/>
  <c r="C8" i="82"/>
  <c r="D29" i="82" s="1"/>
  <c r="C9" i="82"/>
  <c r="D18" i="82" s="1"/>
  <c r="C10" i="82"/>
  <c r="D19" i="82" s="1"/>
  <c r="N51" i="83" l="1"/>
  <c r="N36" i="83" s="1"/>
  <c r="Q36" i="83" s="1"/>
  <c r="O51" i="83"/>
  <c r="O40" i="83" s="1"/>
  <c r="R40" i="83" s="1"/>
  <c r="X40" i="83" s="1"/>
  <c r="C28" i="36"/>
  <c r="D15" i="44"/>
  <c r="E15" i="44" s="1"/>
  <c r="D30" i="82"/>
  <c r="D17" i="82"/>
  <c r="D31" i="82"/>
  <c r="E32" i="82"/>
  <c r="E20" i="82"/>
  <c r="E18" i="82"/>
  <c r="E30" i="82"/>
  <c r="D20" i="82"/>
  <c r="E19" i="82"/>
  <c r="E31" i="82"/>
  <c r="D20" i="57"/>
  <c r="E17" i="82"/>
  <c r="E29" i="82"/>
  <c r="D32" i="82"/>
  <c r="O43" i="83" l="1"/>
  <c r="R43" i="83" s="1"/>
  <c r="X43" i="83" s="1"/>
  <c r="O42" i="83"/>
  <c r="R42" i="83" s="1"/>
  <c r="X42" i="83" s="1"/>
  <c r="O24" i="83"/>
  <c r="R24" i="83" s="1"/>
  <c r="O37" i="83"/>
  <c r="R37" i="83" s="1"/>
  <c r="X37" i="83" s="1"/>
  <c r="O41" i="83"/>
  <c r="R41" i="83" s="1"/>
  <c r="X41" i="83" s="1"/>
  <c r="O23" i="83"/>
  <c r="R23" i="83" s="1"/>
  <c r="O22" i="83"/>
  <c r="R22" i="83" s="1"/>
  <c r="X22" i="83" s="1"/>
  <c r="N23" i="83"/>
  <c r="Q23" i="83" s="1"/>
  <c r="N22" i="83"/>
  <c r="Q22" i="83" s="1"/>
  <c r="W22" i="83" s="1"/>
  <c r="N41" i="83"/>
  <c r="Q41" i="83" s="1"/>
  <c r="W41" i="83" s="1"/>
  <c r="N5" i="83"/>
  <c r="Q5" i="83" s="1"/>
  <c r="W5" i="83" s="1"/>
  <c r="N42" i="83"/>
  <c r="Q42" i="83" s="1"/>
  <c r="W42" i="83" s="1"/>
  <c r="N43" i="83"/>
  <c r="Q43" i="83" s="1"/>
  <c r="W43" i="83" s="1"/>
  <c r="N37" i="83"/>
  <c r="Q37" i="83" s="1"/>
  <c r="W37" i="83" s="1"/>
  <c r="N24" i="83"/>
  <c r="Q24" i="83" s="1"/>
  <c r="W36" i="83"/>
  <c r="N25" i="83"/>
  <c r="Q25" i="83" s="1"/>
  <c r="W25" i="83" s="1"/>
  <c r="Q34" i="83"/>
  <c r="W34" i="83" s="1"/>
  <c r="Q27" i="83"/>
  <c r="W27" i="83" s="1"/>
  <c r="Q6" i="83"/>
  <c r="W6" i="83" s="1"/>
  <c r="N38" i="83"/>
  <c r="Q38" i="83" s="1"/>
  <c r="W38" i="83" s="1"/>
  <c r="Q46" i="83"/>
  <c r="W46" i="83" s="1"/>
  <c r="W39" i="83"/>
  <c r="N40" i="83"/>
  <c r="Q40" i="83" s="1"/>
  <c r="W40" i="83" s="1"/>
  <c r="O25" i="83"/>
  <c r="R25" i="83" s="1"/>
  <c r="X25" i="83" s="1"/>
  <c r="Q26" i="83"/>
  <c r="W26" i="83" s="1"/>
  <c r="O38" i="83"/>
  <c r="R38" i="83" s="1"/>
  <c r="X38" i="83" s="1"/>
  <c r="R34" i="83"/>
  <c r="X34" i="83" s="1"/>
  <c r="R46" i="83"/>
  <c r="X46" i="83" s="1"/>
  <c r="R26" i="83"/>
  <c r="X26" i="83" s="1"/>
  <c r="R6" i="83"/>
  <c r="X6" i="83" s="1"/>
  <c r="O36" i="83"/>
  <c r="R36" i="83" s="1"/>
  <c r="O5" i="83"/>
  <c r="R5" i="83" s="1"/>
  <c r="X5" i="83" s="1"/>
  <c r="Q35" i="83"/>
  <c r="R39" i="83"/>
  <c r="X39" i="83" s="1"/>
  <c r="R35" i="83"/>
  <c r="R27" i="83"/>
  <c r="X27" i="83" s="1"/>
  <c r="C20" i="57"/>
  <c r="D34" i="82"/>
  <c r="T21" i="83" l="1"/>
  <c r="W21" i="83" s="1"/>
  <c r="U21" i="83"/>
  <c r="X21" i="83" s="1"/>
  <c r="X36" i="83"/>
  <c r="U35" i="83"/>
  <c r="X35" i="83" s="1"/>
  <c r="X24" i="83"/>
  <c r="T35" i="83"/>
  <c r="W35" i="83" s="1"/>
  <c r="W24" i="83"/>
  <c r="W23" i="83"/>
  <c r="X23" i="83"/>
  <c r="W33" i="83"/>
  <c r="X33" i="83"/>
  <c r="W52" i="83" l="1"/>
  <c r="X52" i="83"/>
  <c r="D40" i="82"/>
  <c r="D13" i="82" l="1"/>
  <c r="E40" i="82" l="1"/>
  <c r="E13" i="82" l="1"/>
  <c r="C13" i="82" l="1"/>
  <c r="D19" i="36" s="1"/>
  <c r="E19" i="36" l="1"/>
  <c r="C19" i="36" s="1"/>
  <c r="D22" i="82"/>
  <c r="E34" i="82"/>
  <c r="E22" i="82"/>
  <c r="F56" i="56" s="1"/>
  <c r="D24" i="82" l="1"/>
  <c r="E56" i="56"/>
  <c r="D56" i="44" s="1"/>
  <c r="E56" i="44" s="1"/>
  <c r="C22" i="82"/>
  <c r="E24" i="82"/>
  <c r="C34" i="82"/>
  <c r="C24" i="82" l="1"/>
  <c r="D20" i="36" s="1"/>
  <c r="E20" i="36" l="1"/>
  <c r="C20" i="36" s="1"/>
  <c r="D31" i="36" l="1"/>
  <c r="E30" i="56" s="1"/>
  <c r="E31" i="36"/>
  <c r="F30" i="56" s="1"/>
  <c r="E54" i="82" l="1"/>
  <c r="D54" i="82"/>
  <c r="D31" i="44"/>
  <c r="E31" i="44" s="1"/>
  <c r="E37" i="56"/>
  <c r="F37" i="56"/>
  <c r="E38" i="56"/>
  <c r="F38" i="56"/>
  <c r="E43" i="56"/>
  <c r="F43" i="56"/>
  <c r="D63" i="82" l="1"/>
  <c r="D61" i="82"/>
  <c r="E62" i="82"/>
  <c r="D62" i="82"/>
  <c r="E63" i="82"/>
  <c r="E61" i="82"/>
  <c r="C31" i="36"/>
  <c r="E25" i="57"/>
  <c r="D25" i="57"/>
  <c r="D37" i="44"/>
  <c r="E37" i="44" s="1"/>
  <c r="D43" i="44"/>
  <c r="E43" i="44" s="1"/>
  <c r="D38" i="44"/>
  <c r="E38" i="44" s="1"/>
  <c r="D30" i="44" l="1"/>
  <c r="E30" i="44" s="1"/>
  <c r="C25" i="57"/>
  <c r="E21" i="57" l="1"/>
  <c r="D21" i="57" l="1"/>
  <c r="C21" i="57" l="1"/>
  <c r="D23" i="57" l="1"/>
  <c r="E23" i="57" l="1"/>
  <c r="C23" i="57" s="1"/>
  <c r="E10" i="56"/>
  <c r="D39" i="82" s="1"/>
  <c r="D66" i="82" s="1"/>
  <c r="D21" i="36" s="1"/>
  <c r="E9" i="56" l="1"/>
  <c r="E46" i="56"/>
  <c r="E47" i="56"/>
  <c r="E44" i="56"/>
  <c r="E27" i="56"/>
  <c r="E45" i="56"/>
  <c r="E40" i="56"/>
  <c r="E41" i="56"/>
  <c r="E42" i="56"/>
  <c r="E29" i="56"/>
  <c r="E26" i="56"/>
  <c r="E28" i="56"/>
  <c r="D19" i="57"/>
  <c r="D32" i="36" l="1"/>
  <c r="D28" i="57"/>
  <c r="D30" i="36"/>
  <c r="D27" i="57"/>
  <c r="D18" i="57"/>
  <c r="E39" i="56" l="1"/>
  <c r="E25" i="56"/>
  <c r="D22" i="57" l="1"/>
  <c r="E58" i="56"/>
  <c r="D24" i="57"/>
  <c r="D31" i="57" l="1"/>
  <c r="D36" i="57" s="1"/>
  <c r="C27" i="36"/>
  <c r="F10" i="56"/>
  <c r="D43" i="57" l="1"/>
  <c r="D39" i="57"/>
  <c r="E39" i="82"/>
  <c r="E66" i="82" s="1"/>
  <c r="E21" i="36" s="1"/>
  <c r="E19" i="57"/>
  <c r="D10" i="44"/>
  <c r="F9" i="56" l="1"/>
  <c r="F26" i="56"/>
  <c r="F44" i="56"/>
  <c r="F28" i="56"/>
  <c r="F42" i="56"/>
  <c r="F29" i="56"/>
  <c r="F47" i="56"/>
  <c r="F27" i="56"/>
  <c r="F41" i="56"/>
  <c r="F45" i="56"/>
  <c r="F46" i="56"/>
  <c r="F40" i="56"/>
  <c r="C21" i="36"/>
  <c r="H25" i="57"/>
  <c r="D49" i="57"/>
  <c r="D50" i="57" s="1"/>
  <c r="D51" i="57" s="1"/>
  <c r="C19" i="57"/>
  <c r="E10" i="44"/>
  <c r="D27" i="44" l="1"/>
  <c r="E27" i="44" s="1"/>
  <c r="E27" i="57"/>
  <c r="C27" i="57" s="1"/>
  <c r="D46" i="44"/>
  <c r="E46" i="44" s="1"/>
  <c r="E28" i="57"/>
  <c r="C28" i="57" s="1"/>
  <c r="D47" i="44"/>
  <c r="E47" i="44" s="1"/>
  <c r="D44" i="44"/>
  <c r="E44" i="44" s="1"/>
  <c r="D28" i="44"/>
  <c r="E28" i="44" s="1"/>
  <c r="D45" i="44"/>
  <c r="E45" i="44" s="1"/>
  <c r="D29" i="44"/>
  <c r="E29" i="44" s="1"/>
  <c r="E30" i="36"/>
  <c r="D26" i="44"/>
  <c r="E26" i="44" s="1"/>
  <c r="E32" i="36"/>
  <c r="D40" i="44"/>
  <c r="E40" i="44" s="1"/>
  <c r="D41" i="44"/>
  <c r="E41" i="44" s="1"/>
  <c r="D42" i="44"/>
  <c r="E42" i="44" s="1"/>
  <c r="E18" i="57"/>
  <c r="D9" i="44"/>
  <c r="F25" i="56" l="1"/>
  <c r="C30" i="36"/>
  <c r="E9" i="44"/>
  <c r="F39" i="56"/>
  <c r="C32" i="36"/>
  <c r="C18" i="57"/>
  <c r="E24" i="57" l="1"/>
  <c r="C24" i="57" s="1"/>
  <c r="D39" i="44"/>
  <c r="E39" i="44" s="1"/>
  <c r="E22" i="57"/>
  <c r="D25" i="44"/>
  <c r="F58" i="56"/>
  <c r="D59" i="56" s="1"/>
  <c r="C22" i="57" l="1"/>
  <c r="C31" i="57" s="1"/>
  <c r="C36" i="57" s="1"/>
  <c r="E31" i="57"/>
  <c r="E36" i="57" s="1"/>
  <c r="E25" i="44"/>
  <c r="E57" i="44" s="1"/>
  <c r="D57" i="44"/>
  <c r="E39" i="57" l="1"/>
  <c r="E43" i="57"/>
  <c r="C32" i="57"/>
  <c r="C11" i="57"/>
  <c r="D12" i="57" l="1"/>
  <c r="D38" i="57" s="1"/>
  <c r="E12" i="57"/>
  <c r="E38" i="57" s="1"/>
  <c r="E45" i="57"/>
  <c r="E49" i="57"/>
  <c r="E50" i="57" s="1"/>
  <c r="H26" i="57"/>
  <c r="C12" i="57" l="1"/>
  <c r="C50" i="57"/>
  <c r="C51" i="57" s="1"/>
  <c r="E51" i="57"/>
</calcChain>
</file>

<file path=xl/sharedStrings.xml><?xml version="1.0" encoding="utf-8"?>
<sst xmlns="http://schemas.openxmlformats.org/spreadsheetml/2006/main" count="341" uniqueCount="188">
  <si>
    <t>Accounts</t>
  </si>
  <si>
    <t>Financial Statement</t>
  </si>
  <si>
    <t xml:space="preserve"> </t>
  </si>
  <si>
    <t>ALLOCATION BY RATE CLASSIFICATION</t>
  </si>
  <si>
    <t>Forecast Financial Statement</t>
  </si>
  <si>
    <t>Difference</t>
  </si>
  <si>
    <t>Description</t>
  </si>
  <si>
    <t>O1 Grouping</t>
  </si>
  <si>
    <t>Classification and Allocation</t>
  </si>
  <si>
    <t>Customer Classes</t>
  </si>
  <si>
    <t>Total</t>
  </si>
  <si>
    <t>Break out Functions</t>
  </si>
  <si>
    <t>Expenses</t>
  </si>
  <si>
    <t>Asset net of Accumulated Depreciation and Contributed Capital</t>
  </si>
  <si>
    <t>BALANCE SHEET ITEMS</t>
  </si>
  <si>
    <t>EXPENSE ITEMS</t>
  </si>
  <si>
    <t>ID and Factors</t>
  </si>
  <si>
    <t>Explanation</t>
  </si>
  <si>
    <t>Amortization Expense - Property, Plant, and Equipment</t>
  </si>
  <si>
    <t>Reclassify accounts</t>
  </si>
  <si>
    <t>Reclassified Balance</t>
  </si>
  <si>
    <t>CUSTOMER ALLOCATORS</t>
  </si>
  <si>
    <t>Billing Data</t>
  </si>
  <si>
    <t>NFA</t>
  </si>
  <si>
    <t>Net Class Revenue</t>
  </si>
  <si>
    <t>Net Fixed Assets</t>
  </si>
  <si>
    <t>Composite Allocators</t>
  </si>
  <si>
    <t>Domestic</t>
  </si>
  <si>
    <t>Export</t>
  </si>
  <si>
    <t>DOM</t>
  </si>
  <si>
    <t>rb</t>
  </si>
  <si>
    <t>Dep</t>
  </si>
  <si>
    <t>Demand Total</t>
  </si>
  <si>
    <t>Dedicated to Domestic</t>
  </si>
  <si>
    <t>GA</t>
  </si>
  <si>
    <t>Gross Assets</t>
  </si>
  <si>
    <t>Rate Revenue Required</t>
  </si>
  <si>
    <t>Volume (MWh)</t>
  </si>
  <si>
    <t>Volume</t>
  </si>
  <si>
    <t>Domestic MWh</t>
  </si>
  <si>
    <t>Energy</t>
  </si>
  <si>
    <t>Dedicated to Export</t>
  </si>
  <si>
    <t>Revenue at Existing Rates</t>
  </si>
  <si>
    <t>Revenue at Single Rate</t>
  </si>
  <si>
    <t>Revenue to Expense at Single Rate</t>
  </si>
  <si>
    <t>Separate Rates</t>
  </si>
  <si>
    <t>Rate Weight (percent of domestic rate)</t>
  </si>
  <si>
    <t>Single Charge</t>
  </si>
  <si>
    <t>Revenue Requirement</t>
  </si>
  <si>
    <t>Uniform Rate</t>
  </si>
  <si>
    <t>Revenue at Uniform Rate</t>
  </si>
  <si>
    <t>Revenue at Status Quo Rates</t>
  </si>
  <si>
    <t>Gross MWh</t>
  </si>
  <si>
    <t>Information and Technology Services - VP Office</t>
  </si>
  <si>
    <t>Corporate Services - VP Office</t>
  </si>
  <si>
    <t>Corporate Services - Settlements</t>
  </si>
  <si>
    <t>MACD</t>
  </si>
  <si>
    <t>Accumulated Amortization</t>
  </si>
  <si>
    <t>Accumulated Depreciation - Fixed Assets Only</t>
  </si>
  <si>
    <t>Int</t>
  </si>
  <si>
    <t>Estimated Average Service Life (Years)</t>
  </si>
  <si>
    <t>Amortization Share</t>
  </si>
  <si>
    <t>CEO</t>
  </si>
  <si>
    <t>CS</t>
  </si>
  <si>
    <t>Other</t>
  </si>
  <si>
    <t>Information and Technology Services</t>
  </si>
  <si>
    <t>Corporate Services</t>
  </si>
  <si>
    <t>ITS</t>
  </si>
  <si>
    <t>TWh</t>
  </si>
  <si>
    <t>HALF</t>
  </si>
  <si>
    <t>Equal Halves</t>
  </si>
  <si>
    <t>Gross Fixed Assets</t>
  </si>
  <si>
    <t>Amortization Expense</t>
  </si>
  <si>
    <t>DTWh</t>
  </si>
  <si>
    <t>System TWh</t>
  </si>
  <si>
    <t>Domestic TWh</t>
  </si>
  <si>
    <t>EXP</t>
  </si>
  <si>
    <t>Less Transmission Line Losses</t>
  </si>
  <si>
    <t>Embedded Generation</t>
  </si>
  <si>
    <t>Assets</t>
  </si>
  <si>
    <t>Allocated Costs</t>
  </si>
  <si>
    <t>Allocator</t>
  </si>
  <si>
    <t>Accumulated Amortization Total</t>
  </si>
  <si>
    <t>Total Allocation</t>
  </si>
  <si>
    <t>Check</t>
  </si>
  <si>
    <t>Revenue Requirement ($)</t>
  </si>
  <si>
    <t>Net Fixed Assets ($)</t>
  </si>
  <si>
    <t>Fixed Asset Accounts</t>
  </si>
  <si>
    <t>Expense Accounts (Revenue Requirement)</t>
  </si>
  <si>
    <t>Functionalized Accounts</t>
  </si>
  <si>
    <t>Total Expenses (Revenue Requirement)</t>
  </si>
  <si>
    <t>Revenue to Expense at Status Quo Rates</t>
  </si>
  <si>
    <t>This sheet shows what accounts are included in the COSS and how the categorized costs are allocated.</t>
  </si>
  <si>
    <t>Balance in Summary by Class and Accounts</t>
  </si>
  <si>
    <t>Summary of Allocation by Class &amp; Accounts</t>
  </si>
  <si>
    <t>Fixed Assets</t>
  </si>
  <si>
    <t>FIXED ASSETS</t>
  </si>
  <si>
    <t>Factor required to recover Revenue Requirement</t>
  </si>
  <si>
    <t>Note: The IESO does not have a Rate Base similar to rate regulated utilities.  Fixed Assets are allocated to test the assumption that TWh is a sensible allocator for Interest and Amortization.</t>
  </si>
  <si>
    <t>Market Renewal</t>
  </si>
  <si>
    <t>Corporate Services - Enterprise Change</t>
  </si>
  <si>
    <t>Corporate Services - Facilities</t>
  </si>
  <si>
    <t>Human Resources</t>
  </si>
  <si>
    <t>Market Assessment and Compliance Division</t>
  </si>
  <si>
    <t>Legal Resources and Corporate Governance</t>
  </si>
  <si>
    <t>LRCG</t>
  </si>
  <si>
    <t>HR</t>
  </si>
  <si>
    <t>MR</t>
  </si>
  <si>
    <t>Corporate Adjustment - General</t>
  </si>
  <si>
    <t>Corporate Adjustment - Interest</t>
  </si>
  <si>
    <t>Corporate Adjustment - Depreciation on fixed assets</t>
  </si>
  <si>
    <t>Demand</t>
  </si>
  <si>
    <t>O&amp;A</t>
  </si>
  <si>
    <t>O&amp;A Total</t>
  </si>
  <si>
    <t>Identifiable O&amp;A</t>
  </si>
  <si>
    <t>Information and Technology Services - Information Security</t>
  </si>
  <si>
    <t>Corporate Services - Procurement</t>
  </si>
  <si>
    <t>Other Revenues</t>
  </si>
  <si>
    <t>IESO MWh Rate</t>
  </si>
  <si>
    <t>Assets - Assets</t>
  </si>
  <si>
    <t>Assets - Market systems &amp; applications</t>
  </si>
  <si>
    <t>Assets - Infrastructure &amp; other assets</t>
  </si>
  <si>
    <t>Assets - Assets Under Construction</t>
  </si>
  <si>
    <t>Single Charge Scenario</t>
  </si>
  <si>
    <t>Revenue at Rounded Rates</t>
  </si>
  <si>
    <t>Surplus (Shortfall) - Rounded Rates</t>
  </si>
  <si>
    <t>Rounded Rates</t>
  </si>
  <si>
    <t>TWh, Dom, Half</t>
  </si>
  <si>
    <t>Subtotal</t>
  </si>
  <si>
    <t>VP Office (with O&amp;A)</t>
  </si>
  <si>
    <t>Business Unit Allocation</t>
  </si>
  <si>
    <t>Basis for O&amp;A Derivation</t>
  </si>
  <si>
    <t>Allocate O&amp;A</t>
  </si>
  <si>
    <t>VP Office (w/o O&amp;A)</t>
  </si>
  <si>
    <t>Non-Overhead Allocation</t>
  </si>
  <si>
    <t>Year</t>
  </si>
  <si>
    <t>$/MWh</t>
  </si>
  <si>
    <t xml:space="preserve">Markets &amp; Reliability -  VP Office </t>
  </si>
  <si>
    <t xml:space="preserve">Markets &amp; Reliability -  Power System Assessments </t>
  </si>
  <si>
    <t xml:space="preserve">Markets &amp; Reliability -  Market Operations </t>
  </si>
  <si>
    <t xml:space="preserve">Markets &amp; Reliability -  Wholesale Market Development </t>
  </si>
  <si>
    <t xml:space="preserve">Markets &amp; Reliability -  Reliability Assurance &amp; Operational Assessments </t>
  </si>
  <si>
    <t xml:space="preserve">Planning, Conservation and Resource Adequacy -  VP Office and Planning Projects &amp; Sustainability </t>
  </si>
  <si>
    <t xml:space="preserve">Planning, Conservation and Resource Adequacy -  Resource Planning </t>
  </si>
  <si>
    <t xml:space="preserve">Planning, Conservation and Resource Adequacy -  Transmission Planning </t>
  </si>
  <si>
    <t xml:space="preserve">Planning, Conservation and Resource Adequacy -  Resource &amp; System Adequacy </t>
  </si>
  <si>
    <t xml:space="preserve">Planning, Conservation and Resource Adequacy -  Energy Efficiency </t>
  </si>
  <si>
    <t xml:space="preserve">Corporate Relations, Stakeholder Engagement and Innovation -  VP Office </t>
  </si>
  <si>
    <t xml:space="preserve">Corporate Relations, Stakeholder Engagement and Innovation -  Government Affairs </t>
  </si>
  <si>
    <t xml:space="preserve">Corporate Relations, Stakeholder Engagement and Innovation -  Corporate Communications </t>
  </si>
  <si>
    <t xml:space="preserve">Corporate Relations, Stakeholder Engagement and Innovation -  Stakeholder and Community Engagement </t>
  </si>
  <si>
    <t xml:space="preserve">Corporate Relations, Stakeholder Engagement and Innovation -  Innovation, Research &amp; Development </t>
  </si>
  <si>
    <t>Information and Technology Services - CIO Office (Organizational Governance Support)</t>
  </si>
  <si>
    <t>Information and Technology Services - Business Services &amp; Solution Delivery</t>
  </si>
  <si>
    <t>Information and Technology Services - IT Infrastructure &amp; Operations (Technology Services)</t>
  </si>
  <si>
    <t xml:space="preserve">Legal Resources and Corporate Governance -  VP Office </t>
  </si>
  <si>
    <t xml:space="preserve">Legal Resources and Corporate Governance -  General Counsel </t>
  </si>
  <si>
    <t xml:space="preserve">Legal Resources and Corporate Governance -  Market Rules and Regulatory Affairs </t>
  </si>
  <si>
    <t xml:space="preserve">Legal Resources and Corporate Governance -  OEB Assessment Fees </t>
  </si>
  <si>
    <t xml:space="preserve">Legal Resources and Corporate Governance -  Board </t>
  </si>
  <si>
    <t xml:space="preserve">Legal Resources and Corporate Governance -  NERC and NPCC Membership </t>
  </si>
  <si>
    <t xml:space="preserve">Legal Resources and Corporate Governance -  Contract Management </t>
  </si>
  <si>
    <t xml:space="preserve">Market Assessment and Compliance Division -  Market Assessment and Compliance Division </t>
  </si>
  <si>
    <t>CEO Office</t>
  </si>
  <si>
    <t>Corporate Services - Corporate Finance</t>
  </si>
  <si>
    <t>Corporate Services - Risk, Performance &amp; Reliance and Internal Audit</t>
  </si>
  <si>
    <t>Interest, Amortization and Registration Fees - Amortization</t>
  </si>
  <si>
    <t>Interest, Amortization and Registration Fees - Interest</t>
  </si>
  <si>
    <t>Interest, Amortization and Registration Fees - Registration Fees</t>
  </si>
  <si>
    <t>M&amp;R</t>
  </si>
  <si>
    <t>PCRA</t>
  </si>
  <si>
    <t>CRSEI</t>
  </si>
  <si>
    <t>RF</t>
  </si>
  <si>
    <t xml:space="preserve"> Markets &amp; Reliability </t>
  </si>
  <si>
    <t xml:space="preserve"> Planning, Conservation and Resource Adequacy </t>
  </si>
  <si>
    <t xml:space="preserve"> Corporate Relations, Stakeholder Engagement and Innovation </t>
  </si>
  <si>
    <t xml:space="preserve">Planning, Conservation and Resource Adequacy </t>
  </si>
  <si>
    <t xml:space="preserve">Markets &amp; Reliability </t>
  </si>
  <si>
    <t xml:space="preserve">Corporate Relations, Stakeholder Engagement and Innovation </t>
  </si>
  <si>
    <t xml:space="preserve"> Information and Technology Services </t>
  </si>
  <si>
    <t xml:space="preserve"> Legal Resources and Corporate Governance </t>
  </si>
  <si>
    <t>Domestic Annual % Change</t>
  </si>
  <si>
    <t>Export Annual % Change</t>
  </si>
  <si>
    <t xml:space="preserve">   Composite Allocator Detail Worksheet</t>
  </si>
  <si>
    <t>Version:</t>
  </si>
  <si>
    <t>Dec 5, 2023</t>
  </si>
  <si>
    <t xml:space="preserve">Market Assessment and Compliance Division - Regulatory Fees </t>
  </si>
  <si>
    <t>IESO 2024 Cost Allocation &amp; Fee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</si>
</sst>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_-;\-* #,##0_-;_-* &quot;-&quot;??_-;_-@_-"/>
    <numFmt numFmtId="170" formatCode="_(&quot;$&quot;* #,##0_);_(&quot;$&quot;* \(#,##0\);_(&quot;$&quot;* &quot;-&quot;??_);_(@_)"/>
    <numFmt numFmtId="171" formatCode="&quot;$&quot;#,##0.0000_);[Red]\(&quot;$&quot;#,##0.0000\)"/>
    <numFmt numFmtId="172" formatCode="&quot;$&quot;#,##0;\(&quot;$&quot;#,##0\)\ "/>
    <numFmt numFmtId="173" formatCode="&quot;$&quot;#,##0;[Red]&quot;$&quot;#,##0"/>
    <numFmt numFmtId="174" formatCode="_-&quot;$&quot;* #,##0_-;\-&quot;$&quot;* #,##0_-;_-&quot;$&quot;* &quot;-&quot;??_-;_-@_-"/>
    <numFmt numFmtId="175" formatCode="0.00000"/>
    <numFmt numFmtId="176" formatCode="0.0%"/>
    <numFmt numFmtId="177" formatCode="_-* #,##0.000000_-;\-* #,##0.000000_-;_-* &quot;-&quot;??_-;_-@_-"/>
    <numFmt numFmtId="178" formatCode="&quot;$&quot;#,##0.00;[Red]&quot;$&quot;#,##0.00"/>
    <numFmt numFmtId="179" formatCode="_-* #,##0.0_-;\-* #,##0.0_-;_-* &quot;-&quot;_-;_-@_-"/>
    <numFmt numFmtId="180" formatCode="_(* #,##0.0_);_(* \(#,##0.0\);_(* &quot;-&quot;??_);_(@_)"/>
    <numFmt numFmtId="181" formatCode="_-* #,##0.00_-;\-* #,##0.00_-;_-* &quot;-&quot;_-;_-@_-"/>
    <numFmt numFmtId="182" formatCode="_-* #,##0.000_-;\-* #,##0.000_-;_-* &quot;-&quot;_-;_-@_-"/>
    <numFmt numFmtId="183" formatCode="_-* #,##0.0000_-;\-* #,##0.0000_-;_-* &quot;-&quot;_-;_-@_-"/>
    <numFmt numFmtId="184" formatCode="_(* #,##0_);_(* \(#,##0\);_(* &quot;-&quot;??_);_(@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sz val="8"/>
      <color indexed="21"/>
      <name val="Arial"/>
      <family val="2"/>
    </font>
    <font>
      <b/>
      <sz val="8"/>
      <color indexed="6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6"/>
      <color indexed="10"/>
      <name val="Cooper Black"/>
      <family val="1"/>
    </font>
    <font>
      <b/>
      <sz val="14"/>
      <name val="Arial"/>
      <family val="2"/>
    </font>
    <font>
      <b/>
      <sz val="16"/>
      <name val="Cooper Black"/>
      <family val="1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8"/>
      <color indexed="9"/>
      <name val="Arial"/>
      <family val="2"/>
    </font>
    <font>
      <b/>
      <u/>
      <sz val="12"/>
      <name val="Arial"/>
      <family val="2"/>
    </font>
    <font>
      <b/>
      <sz val="10"/>
      <color indexed="17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6"/>
      <name val="Arial"/>
      <family val="2"/>
    </font>
    <font>
      <sz val="11"/>
      <color rgb="FF9C65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B9C"/>
      </patternFill>
    </fill>
  </fills>
  <borders count="7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0">
    <xf numFmtId="0" fontId="0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9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4" fontId="4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51" fillId="15" borderId="0" applyNumberFormat="0" applyBorder="0" applyAlignment="0" applyProtection="0"/>
  </cellStyleXfs>
  <cellXfs count="486">
    <xf numFmtId="0" fontId="0" fillId="0" borderId="0" xfId="0"/>
    <xf numFmtId="0" fontId="8" fillId="2" borderId="0" xfId="0" applyFont="1" applyFill="1"/>
    <xf numFmtId="0" fontId="8" fillId="3" borderId="0" xfId="0" applyFont="1" applyFill="1"/>
    <xf numFmtId="0" fontId="26" fillId="2" borderId="0" xfId="0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 vertical="center" wrapText="1"/>
    </xf>
    <xf numFmtId="165" fontId="7" fillId="2" borderId="0" xfId="1" applyNumberFormat="1" applyFont="1" applyFill="1" applyBorder="1"/>
    <xf numFmtId="0" fontId="24" fillId="2" borderId="0" xfId="0" applyFont="1" applyFill="1" applyAlignment="1">
      <alignment horizontal="left" indent="5"/>
    </xf>
    <xf numFmtId="0" fontId="8" fillId="2" borderId="0" xfId="0" applyFont="1" applyFill="1" applyAlignment="1">
      <alignment horizontal="left" indent="5"/>
    </xf>
    <xf numFmtId="0" fontId="6" fillId="2" borderId="0" xfId="0" applyFont="1" applyFill="1" applyAlignment="1">
      <alignment horizontal="right" vertical="top"/>
    </xf>
    <xf numFmtId="165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 wrapText="1"/>
    </xf>
    <xf numFmtId="0" fontId="13" fillId="2" borderId="8" xfId="0" applyFont="1" applyFill="1" applyBorder="1" applyAlignment="1">
      <alignment horizontal="left" vertical="center" wrapText="1"/>
    </xf>
    <xf numFmtId="165" fontId="13" fillId="0" borderId="13" xfId="1" applyNumberFormat="1" applyFont="1" applyFill="1" applyBorder="1" applyAlignment="1" applyProtection="1">
      <alignment horizontal="center" vertical="center" wrapText="1"/>
    </xf>
    <xf numFmtId="165" fontId="13" fillId="2" borderId="8" xfId="1" applyNumberFormat="1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65" fontId="8" fillId="2" borderId="0" xfId="2" applyNumberFormat="1" applyFont="1" applyFill="1" applyBorder="1" applyAlignment="1" applyProtection="1">
      <alignment horizontal="right"/>
    </xf>
    <xf numFmtId="165" fontId="8" fillId="2" borderId="0" xfId="2" applyNumberFormat="1" applyFont="1" applyFill="1" applyBorder="1" applyAlignment="1" applyProtection="1"/>
    <xf numFmtId="165" fontId="8" fillId="2" borderId="0" xfId="0" applyNumberFormat="1" applyFont="1" applyFill="1"/>
    <xf numFmtId="0" fontId="13" fillId="0" borderId="14" xfId="0" applyFont="1" applyBorder="1" applyAlignment="1">
      <alignment horizontal="center" vertical="center" wrapText="1"/>
    </xf>
    <xf numFmtId="165" fontId="13" fillId="0" borderId="7" xfId="2" applyNumberFormat="1" applyFont="1" applyFill="1" applyBorder="1" applyAlignment="1" applyProtection="1">
      <alignment horizontal="center" vertical="center" wrapText="1"/>
    </xf>
    <xf numFmtId="170" fontId="13" fillId="0" borderId="8" xfId="2" applyNumberFormat="1" applyFont="1" applyFill="1" applyBorder="1" applyAlignment="1" applyProtection="1">
      <alignment horizontal="center" vertical="center" wrapText="1"/>
    </xf>
    <xf numFmtId="165" fontId="13" fillId="0" borderId="8" xfId="2" applyNumberFormat="1" applyFont="1" applyFill="1" applyBorder="1" applyAlignment="1" applyProtection="1">
      <alignment horizontal="center" vertical="center" wrapText="1"/>
    </xf>
    <xf numFmtId="0" fontId="29" fillId="2" borderId="18" xfId="0" applyFont="1" applyFill="1" applyBorder="1" applyAlignment="1">
      <alignment horizontal="center" vertical="center"/>
    </xf>
    <xf numFmtId="0" fontId="32" fillId="0" borderId="14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32" fillId="2" borderId="0" xfId="0" applyFont="1" applyFill="1"/>
    <xf numFmtId="0" fontId="8" fillId="2" borderId="0" xfId="0" applyFont="1" applyFill="1" applyAlignment="1">
      <alignment vertical="top" wrapText="1"/>
    </xf>
    <xf numFmtId="0" fontId="32" fillId="2" borderId="0" xfId="0" applyFont="1" applyFill="1" applyAlignment="1">
      <alignment horizontal="left" vertical="top"/>
    </xf>
    <xf numFmtId="0" fontId="32" fillId="2" borderId="0" xfId="0" applyFont="1" applyFill="1" applyAlignment="1">
      <alignment vertical="top" wrapText="1"/>
    </xf>
    <xf numFmtId="165" fontId="32" fillId="2" borderId="0" xfId="2" applyNumberFormat="1" applyFont="1" applyFill="1" applyBorder="1" applyAlignment="1">
      <alignment horizontal="right" vertical="center" wrapText="1"/>
    </xf>
    <xf numFmtId="170" fontId="32" fillId="2" borderId="0" xfId="2" applyNumberFormat="1" applyFont="1" applyFill="1" applyBorder="1" applyAlignment="1">
      <alignment wrapText="1"/>
    </xf>
    <xf numFmtId="169" fontId="31" fillId="2" borderId="0" xfId="2" applyNumberFormat="1" applyFont="1" applyFill="1" applyBorder="1" applyAlignment="1" applyProtection="1"/>
    <xf numFmtId="165" fontId="32" fillId="2" borderId="0" xfId="0" applyNumberFormat="1" applyFont="1" applyFill="1" applyAlignment="1">
      <alignment wrapText="1"/>
    </xf>
    <xf numFmtId="0" fontId="32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41" fontId="8" fillId="2" borderId="0" xfId="0" applyNumberFormat="1" applyFont="1" applyFill="1"/>
    <xf numFmtId="41" fontId="8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indent="10"/>
    </xf>
    <xf numFmtId="0" fontId="8" fillId="2" borderId="0" xfId="0" applyFont="1" applyFill="1" applyAlignment="1">
      <alignment horizontal="left" indent="10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right"/>
    </xf>
    <xf numFmtId="0" fontId="13" fillId="2" borderId="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Protection="1">
      <protection locked="0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 wrapText="1"/>
    </xf>
    <xf numFmtId="0" fontId="20" fillId="2" borderId="28" xfId="0" applyFont="1" applyFill="1" applyBorder="1"/>
    <xf numFmtId="0" fontId="20" fillId="2" borderId="0" xfId="0" applyFont="1" applyFill="1" applyAlignment="1">
      <alignment horizontal="center" wrapText="1"/>
    </xf>
    <xf numFmtId="41" fontId="8" fillId="2" borderId="0" xfId="0" applyNumberFormat="1" applyFont="1" applyFill="1" applyAlignment="1">
      <alignment horizontal="center"/>
    </xf>
    <xf numFmtId="41" fontId="8" fillId="2" borderId="28" xfId="0" applyNumberFormat="1" applyFont="1" applyFill="1" applyBorder="1" applyAlignment="1" applyProtection="1">
      <alignment horizontal="center"/>
      <protection locked="0"/>
    </xf>
    <xf numFmtId="41" fontId="18" fillId="2" borderId="37" xfId="0" applyNumberFormat="1" applyFont="1" applyFill="1" applyBorder="1" applyAlignment="1">
      <alignment horizontal="center" vertical="center" wrapText="1"/>
    </xf>
    <xf numFmtId="41" fontId="18" fillId="2" borderId="4" xfId="0" applyNumberFormat="1" applyFont="1" applyFill="1" applyBorder="1" applyAlignment="1">
      <alignment horizontal="center" vertical="center"/>
    </xf>
    <xf numFmtId="41" fontId="10" fillId="2" borderId="29" xfId="0" applyNumberFormat="1" applyFont="1" applyFill="1" applyBorder="1" applyAlignment="1">
      <alignment horizontal="center" wrapText="1"/>
    </xf>
    <xf numFmtId="0" fontId="13" fillId="2" borderId="38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3" fillId="2" borderId="28" xfId="0" applyFont="1" applyFill="1" applyBorder="1" applyAlignment="1">
      <alignment horizontal="center" vertical="center" wrapText="1"/>
    </xf>
    <xf numFmtId="165" fontId="6" fillId="2" borderId="0" xfId="0" applyNumberFormat="1" applyFont="1" applyFill="1"/>
    <xf numFmtId="165" fontId="7" fillId="2" borderId="0" xfId="0" applyNumberFormat="1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65" fontId="20" fillId="2" borderId="0" xfId="0" applyNumberFormat="1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165" fontId="20" fillId="2" borderId="29" xfId="0" applyNumberFormat="1" applyFont="1" applyFill="1" applyBorder="1"/>
    <xf numFmtId="0" fontId="13" fillId="2" borderId="3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top"/>
    </xf>
    <xf numFmtId="0" fontId="13" fillId="2" borderId="28" xfId="0" applyFont="1" applyFill="1" applyBorder="1" applyAlignment="1">
      <alignment horizontal="center" vertical="center"/>
    </xf>
    <xf numFmtId="165" fontId="29" fillId="2" borderId="28" xfId="0" applyNumberFormat="1" applyFont="1" applyFill="1" applyBorder="1"/>
    <xf numFmtId="0" fontId="36" fillId="2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13" fillId="2" borderId="28" xfId="0" applyFont="1" applyFill="1" applyBorder="1"/>
    <xf numFmtId="0" fontId="13" fillId="3" borderId="28" xfId="0" applyFont="1" applyFill="1" applyBorder="1"/>
    <xf numFmtId="165" fontId="13" fillId="3" borderId="43" xfId="0" applyNumberFormat="1" applyFont="1" applyFill="1" applyBorder="1"/>
    <xf numFmtId="0" fontId="16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165" fontId="23" fillId="2" borderId="0" xfId="0" applyNumberFormat="1" applyFont="1" applyFill="1"/>
    <xf numFmtId="165" fontId="20" fillId="2" borderId="28" xfId="0" applyNumberFormat="1" applyFont="1" applyFill="1" applyBorder="1"/>
    <xf numFmtId="0" fontId="13" fillId="2" borderId="38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165" fontId="6" fillId="2" borderId="4" xfId="1" applyNumberFormat="1" applyFont="1" applyFill="1" applyBorder="1" applyAlignment="1" applyProtection="1">
      <alignment horizontal="center" vertical="center" wrapText="1"/>
    </xf>
    <xf numFmtId="165" fontId="20" fillId="2" borderId="0" xfId="1" applyNumberFormat="1" applyFont="1" applyFill="1" applyBorder="1" applyAlignment="1">
      <alignment horizontal="right"/>
    </xf>
    <xf numFmtId="9" fontId="7" fillId="2" borderId="0" xfId="9" applyFont="1" applyFill="1" applyBorder="1" applyAlignment="1"/>
    <xf numFmtId="9" fontId="7" fillId="2" borderId="0" xfId="9" applyFont="1" applyFill="1" applyBorder="1"/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left"/>
    </xf>
    <xf numFmtId="9" fontId="21" fillId="2" borderId="0" xfId="9" applyFont="1" applyFill="1" applyBorder="1"/>
    <xf numFmtId="9" fontId="11" fillId="2" borderId="0" xfId="9" applyFont="1" applyFill="1" applyBorder="1" applyAlignment="1">
      <alignment horizontal="left"/>
    </xf>
    <xf numFmtId="9" fontId="20" fillId="2" borderId="0" xfId="9" applyFont="1" applyFill="1" applyBorder="1" applyAlignment="1">
      <alignment horizontal="left"/>
    </xf>
    <xf numFmtId="9" fontId="23" fillId="2" borderId="0" xfId="9" applyFont="1" applyFill="1" applyBorder="1" applyAlignment="1">
      <alignment horizontal="left" wrapText="1"/>
    </xf>
    <xf numFmtId="9" fontId="23" fillId="2" borderId="0" xfId="9" applyFont="1" applyFill="1" applyBorder="1" applyAlignment="1">
      <alignment wrapText="1"/>
    </xf>
    <xf numFmtId="10" fontId="29" fillId="2" borderId="0" xfId="9" applyNumberFormat="1" applyFont="1" applyFill="1" applyBorder="1" applyAlignment="1">
      <alignment horizontal="left"/>
    </xf>
    <xf numFmtId="10" fontId="29" fillId="2" borderId="0" xfId="9" applyNumberFormat="1" applyFont="1" applyFill="1" applyBorder="1" applyAlignment="1" applyProtection="1">
      <alignment horizontal="center"/>
    </xf>
    <xf numFmtId="9" fontId="23" fillId="2" borderId="0" xfId="9" applyFont="1" applyFill="1" applyBorder="1" applyAlignment="1">
      <alignment horizontal="left"/>
    </xf>
    <xf numFmtId="10" fontId="23" fillId="2" borderId="0" xfId="9" applyNumberFormat="1" applyFont="1" applyFill="1" applyBorder="1" applyAlignment="1" applyProtection="1">
      <alignment horizontal="center"/>
    </xf>
    <xf numFmtId="10" fontId="29" fillId="2" borderId="0" xfId="9" applyNumberFormat="1" applyFont="1" applyFill="1" applyBorder="1" applyAlignment="1" applyProtection="1">
      <alignment horizontal="left"/>
      <protection locked="0"/>
    </xf>
    <xf numFmtId="9" fontId="23" fillId="2" borderId="0" xfId="9" applyFont="1" applyFill="1" applyBorder="1" applyAlignment="1">
      <alignment horizontal="center"/>
    </xf>
    <xf numFmtId="0" fontId="29" fillId="2" borderId="0" xfId="9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3" fillId="3" borderId="29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20" fillId="2" borderId="0" xfId="1" applyNumberFormat="1" applyFont="1" applyFill="1" applyBorder="1" applyAlignment="1">
      <alignment horizontal="left"/>
    </xf>
    <xf numFmtId="165" fontId="20" fillId="4" borderId="2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 vertical="center" wrapText="1"/>
    </xf>
    <xf numFmtId="41" fontId="18" fillId="2" borderId="0" xfId="0" applyNumberFormat="1" applyFont="1" applyFill="1" applyAlignment="1">
      <alignment horizontal="left" vertical="center" wrapText="1"/>
    </xf>
    <xf numFmtId="41" fontId="22" fillId="0" borderId="8" xfId="0" applyNumberFormat="1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41" fontId="20" fillId="2" borderId="0" xfId="0" applyNumberFormat="1" applyFont="1" applyFill="1" applyAlignment="1">
      <alignment horizontal="left"/>
    </xf>
    <xf numFmtId="41" fontId="23" fillId="7" borderId="8" xfId="0" applyNumberFormat="1" applyFont="1" applyFill="1" applyBorder="1" applyAlignment="1">
      <alignment horizontal="right"/>
    </xf>
    <xf numFmtId="41" fontId="20" fillId="7" borderId="8" xfId="0" applyNumberFormat="1" applyFont="1" applyFill="1" applyBorder="1" applyAlignment="1" applyProtection="1">
      <alignment horizontal="right"/>
      <protection locked="0"/>
    </xf>
    <xf numFmtId="165" fontId="20" fillId="2" borderId="0" xfId="0" applyNumberFormat="1" applyFont="1" applyFill="1" applyAlignment="1">
      <alignment horizontal="right"/>
    </xf>
    <xf numFmtId="165" fontId="23" fillId="0" borderId="8" xfId="0" applyNumberFormat="1" applyFont="1" applyBorder="1" applyAlignment="1">
      <alignment horizontal="right"/>
    </xf>
    <xf numFmtId="0" fontId="20" fillId="0" borderId="8" xfId="0" applyFont="1" applyBorder="1" applyAlignment="1">
      <alignment horizontal="left" wrapText="1"/>
    </xf>
    <xf numFmtId="165" fontId="20" fillId="0" borderId="8" xfId="0" applyNumberFormat="1" applyFont="1" applyBorder="1" applyAlignment="1" applyProtection="1">
      <alignment horizontal="right"/>
      <protection locked="0"/>
    </xf>
    <xf numFmtId="10" fontId="29" fillId="2" borderId="0" xfId="9" applyNumberFormat="1" applyFont="1" applyFill="1" applyBorder="1" applyAlignment="1" applyProtection="1">
      <alignment horizontal="left"/>
    </xf>
    <xf numFmtId="10" fontId="29" fillId="2" borderId="0" xfId="9" applyNumberFormat="1" applyFont="1" applyFill="1" applyBorder="1" applyAlignment="1" applyProtection="1">
      <alignment horizontal="center"/>
      <protection locked="0"/>
    </xf>
    <xf numFmtId="172" fontId="39" fillId="2" borderId="0" xfId="0" applyNumberFormat="1" applyFont="1" applyFill="1"/>
    <xf numFmtId="0" fontId="8" fillId="9" borderId="0" xfId="0" applyFont="1" applyFill="1"/>
    <xf numFmtId="0" fontId="7" fillId="9" borderId="0" xfId="0" applyFont="1" applyFill="1"/>
    <xf numFmtId="165" fontId="20" fillId="11" borderId="28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left" vertical="center" wrapText="1"/>
    </xf>
    <xf numFmtId="0" fontId="11" fillId="2" borderId="0" xfId="0" applyFont="1" applyFill="1"/>
    <xf numFmtId="41" fontId="13" fillId="2" borderId="2" xfId="0" applyNumberFormat="1" applyFont="1" applyFill="1" applyBorder="1" applyAlignment="1">
      <alignment horizontal="left"/>
    </xf>
    <xf numFmtId="0" fontId="7" fillId="2" borderId="0" xfId="14" applyFont="1" applyFill="1"/>
    <xf numFmtId="0" fontId="7" fillId="2" borderId="0" xfId="14" applyFont="1" applyFill="1" applyAlignment="1">
      <alignment horizontal="left" indent="10"/>
    </xf>
    <xf numFmtId="0" fontId="7" fillId="2" borderId="0" xfId="14" applyFont="1" applyFill="1" applyAlignment="1">
      <alignment horizontal="center"/>
    </xf>
    <xf numFmtId="0" fontId="7" fillId="3" borderId="0" xfId="14" applyFont="1" applyFill="1"/>
    <xf numFmtId="0" fontId="7" fillId="3" borderId="0" xfId="14" applyFont="1" applyFill="1" applyAlignment="1">
      <alignment horizontal="center"/>
    </xf>
    <xf numFmtId="0" fontId="7" fillId="2" borderId="0" xfId="14" applyFont="1" applyFill="1" applyAlignment="1">
      <alignment horizontal="left" wrapText="1"/>
    </xf>
    <xf numFmtId="0" fontId="10" fillId="2" borderId="0" xfId="14" applyFont="1" applyFill="1"/>
    <xf numFmtId="165" fontId="7" fillId="2" borderId="0" xfId="14" applyNumberFormat="1" applyFont="1" applyFill="1"/>
    <xf numFmtId="0" fontId="7" fillId="2" borderId="0" xfId="14" applyFont="1" applyFill="1" applyAlignment="1">
      <alignment horizontal="left"/>
    </xf>
    <xf numFmtId="0" fontId="3" fillId="2" borderId="0" xfId="14" applyFill="1"/>
    <xf numFmtId="0" fontId="34" fillId="2" borderId="0" xfId="14" applyFont="1" applyFill="1"/>
    <xf numFmtId="0" fontId="19" fillId="2" borderId="0" xfId="14" applyFont="1" applyFill="1" applyAlignment="1">
      <alignment horizontal="left"/>
    </xf>
    <xf numFmtId="0" fontId="19" fillId="2" borderId="0" xfId="14" applyFont="1" applyFill="1" applyAlignment="1">
      <alignment horizontal="left" wrapText="1"/>
    </xf>
    <xf numFmtId="0" fontId="19" fillId="2" borderId="0" xfId="14" applyFont="1" applyFill="1"/>
    <xf numFmtId="0" fontId="40" fillId="2" borderId="0" xfId="14" applyFont="1" applyFill="1"/>
    <xf numFmtId="0" fontId="3" fillId="2" borderId="0" xfId="14" applyFill="1" applyAlignment="1">
      <alignment horizontal="left"/>
    </xf>
    <xf numFmtId="0" fontId="3" fillId="2" borderId="0" xfId="14" applyFill="1" applyAlignment="1">
      <alignment horizontal="left" wrapText="1"/>
    </xf>
    <xf numFmtId="0" fontId="13" fillId="2" borderId="14" xfId="14" applyFont="1" applyFill="1" applyBorder="1" applyAlignment="1">
      <alignment horizontal="center"/>
    </xf>
    <xf numFmtId="0" fontId="41" fillId="2" borderId="0" xfId="14" applyFont="1" applyFill="1"/>
    <xf numFmtId="165" fontId="3" fillId="2" borderId="0" xfId="14" applyNumberFormat="1" applyFill="1"/>
    <xf numFmtId="165" fontId="23" fillId="2" borderId="0" xfId="14" applyNumberFormat="1" applyFont="1" applyFill="1"/>
    <xf numFmtId="0" fontId="27" fillId="2" borderId="0" xfId="14" applyFont="1" applyFill="1" applyAlignment="1">
      <alignment horizontal="left" vertical="top"/>
    </xf>
    <xf numFmtId="0" fontId="41" fillId="2" borderId="0" xfId="14" applyFont="1" applyFill="1" applyAlignment="1">
      <alignment horizontal="left"/>
    </xf>
    <xf numFmtId="0" fontId="22" fillId="2" borderId="0" xfId="0" applyFont="1" applyFill="1" applyAlignment="1">
      <alignment vertical="center" wrapText="1"/>
    </xf>
    <xf numFmtId="42" fontId="37" fillId="2" borderId="0" xfId="0" applyNumberFormat="1" applyFont="1" applyFill="1" applyAlignment="1">
      <alignment vertical="center"/>
    </xf>
    <xf numFmtId="0" fontId="20" fillId="4" borderId="32" xfId="0" applyFont="1" applyFill="1" applyBorder="1" applyAlignment="1">
      <alignment horizontal="left" vertical="center" wrapText="1"/>
    </xf>
    <xf numFmtId="0" fontId="20" fillId="4" borderId="29" xfId="0" applyFont="1" applyFill="1" applyBorder="1" applyAlignment="1">
      <alignment horizontal="left" vertical="center" wrapText="1"/>
    </xf>
    <xf numFmtId="0" fontId="20" fillId="4" borderId="41" xfId="0" applyFont="1" applyFill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top"/>
    </xf>
    <xf numFmtId="0" fontId="20" fillId="4" borderId="29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3" fillId="2" borderId="28" xfId="0" applyFont="1" applyFill="1" applyBorder="1"/>
    <xf numFmtId="0" fontId="13" fillId="2" borderId="29" xfId="0" applyFont="1" applyFill="1" applyBorder="1" applyAlignment="1">
      <alignment horizontal="center" vertical="center" wrapText="1"/>
    </xf>
    <xf numFmtId="173" fontId="20" fillId="2" borderId="29" xfId="0" applyNumberFormat="1" applyFont="1" applyFill="1" applyBorder="1"/>
    <xf numFmtId="174" fontId="29" fillId="2" borderId="28" xfId="15" applyNumberFormat="1" applyFont="1" applyFill="1" applyBorder="1"/>
    <xf numFmtId="0" fontId="3" fillId="12" borderId="28" xfId="0" applyFont="1" applyFill="1" applyBorder="1"/>
    <xf numFmtId="174" fontId="29" fillId="12" borderId="41" xfId="15" applyNumberFormat="1" applyFont="1" applyFill="1" applyBorder="1"/>
    <xf numFmtId="169" fontId="29" fillId="2" borderId="41" xfId="1" applyNumberFormat="1" applyFont="1" applyFill="1" applyBorder="1"/>
    <xf numFmtId="169" fontId="20" fillId="2" borderId="41" xfId="1" applyNumberFormat="1" applyFont="1" applyFill="1" applyBorder="1"/>
    <xf numFmtId="41" fontId="18" fillId="2" borderId="1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33" xfId="0" applyFont="1" applyFill="1" applyBorder="1" applyAlignment="1">
      <alignment horizontal="center" vertical="top" wrapText="1"/>
    </xf>
    <xf numFmtId="165" fontId="23" fillId="2" borderId="34" xfId="0" applyNumberFormat="1" applyFont="1" applyFill="1" applyBorder="1"/>
    <xf numFmtId="165" fontId="20" fillId="2" borderId="34" xfId="0" applyNumberFormat="1" applyFont="1" applyFill="1" applyBorder="1"/>
    <xf numFmtId="165" fontId="20" fillId="2" borderId="35" xfId="0" applyNumberFormat="1" applyFont="1" applyFill="1" applyBorder="1"/>
    <xf numFmtId="0" fontId="13" fillId="2" borderId="2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9" fontId="29" fillId="2" borderId="6" xfId="9" applyFont="1" applyFill="1" applyBorder="1" applyAlignment="1">
      <alignment horizontal="center" vertical="center"/>
    </xf>
    <xf numFmtId="41" fontId="13" fillId="2" borderId="44" xfId="0" applyNumberFormat="1" applyFont="1" applyFill="1" applyBorder="1" applyAlignment="1">
      <alignment horizontal="center" vertical="center" wrapText="1"/>
    </xf>
    <xf numFmtId="41" fontId="13" fillId="2" borderId="48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wrapText="1"/>
    </xf>
    <xf numFmtId="9" fontId="7" fillId="2" borderId="28" xfId="9" applyFont="1" applyFill="1" applyBorder="1"/>
    <xf numFmtId="9" fontId="23" fillId="2" borderId="28" xfId="9" applyFont="1" applyFill="1" applyBorder="1" applyAlignment="1">
      <alignment wrapText="1"/>
    </xf>
    <xf numFmtId="0" fontId="20" fillId="2" borderId="2" xfId="0" applyFont="1" applyFill="1" applyBorder="1" applyAlignment="1">
      <alignment horizontal="left" wrapText="1"/>
    </xf>
    <xf numFmtId="10" fontId="29" fillId="2" borderId="28" xfId="9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>
      <alignment horizontal="left" wrapText="1"/>
    </xf>
    <xf numFmtId="10" fontId="23" fillId="2" borderId="28" xfId="9" applyNumberFormat="1" applyFont="1" applyFill="1" applyBorder="1" applyAlignment="1" applyProtection="1">
      <alignment horizontal="center"/>
    </xf>
    <xf numFmtId="0" fontId="20" fillId="4" borderId="2" xfId="0" applyFont="1" applyFill="1" applyBorder="1" applyAlignment="1">
      <alignment horizontal="left" wrapText="1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20" fillId="2" borderId="2" xfId="0" applyFont="1" applyFill="1" applyBorder="1" applyAlignment="1" applyProtection="1">
      <alignment horizontal="left" wrapText="1"/>
      <protection locked="0"/>
    </xf>
    <xf numFmtId="10" fontId="29" fillId="2" borderId="28" xfId="9" applyNumberFormat="1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left" wrapText="1"/>
    </xf>
    <xf numFmtId="165" fontId="29" fillId="0" borderId="42" xfId="0" applyNumberFormat="1" applyFont="1" applyBorder="1"/>
    <xf numFmtId="165" fontId="13" fillId="0" borderId="43" xfId="0" applyNumberFormat="1" applyFont="1" applyBorder="1"/>
    <xf numFmtId="0" fontId="13" fillId="2" borderId="2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175" fontId="13" fillId="2" borderId="28" xfId="0" applyNumberFormat="1" applyFont="1" applyFill="1" applyBorder="1" applyAlignment="1">
      <alignment horizontal="right" vertical="center"/>
    </xf>
    <xf numFmtId="10" fontId="29" fillId="2" borderId="28" xfId="9" applyNumberFormat="1" applyFont="1" applyFill="1" applyBorder="1"/>
    <xf numFmtId="10" fontId="13" fillId="2" borderId="29" xfId="9" applyNumberFormat="1" applyFont="1" applyFill="1" applyBorder="1"/>
    <xf numFmtId="177" fontId="20" fillId="2" borderId="41" xfId="1" applyNumberFormat="1" applyFont="1" applyFill="1" applyBorder="1"/>
    <xf numFmtId="169" fontId="22" fillId="2" borderId="28" xfId="1" applyNumberFormat="1" applyFont="1" applyFill="1" applyBorder="1"/>
    <xf numFmtId="169" fontId="13" fillId="2" borderId="29" xfId="1" applyNumberFormat="1" applyFont="1" applyFill="1" applyBorder="1"/>
    <xf numFmtId="176" fontId="13" fillId="2" borderId="29" xfId="9" applyNumberFormat="1" applyFont="1" applyFill="1" applyBorder="1"/>
    <xf numFmtId="171" fontId="20" fillId="0" borderId="8" xfId="0" applyNumberFormat="1" applyFont="1" applyBorder="1" applyAlignment="1" applyProtection="1">
      <alignment horizontal="right"/>
      <protection locked="0"/>
    </xf>
    <xf numFmtId="41" fontId="20" fillId="0" borderId="8" xfId="0" applyNumberFormat="1" applyFont="1" applyBorder="1" applyAlignment="1" applyProtection="1">
      <alignment horizontal="right"/>
      <protection locked="0"/>
    </xf>
    <xf numFmtId="41" fontId="10" fillId="2" borderId="32" xfId="0" applyNumberFormat="1" applyFont="1" applyFill="1" applyBorder="1" applyAlignment="1">
      <alignment horizontal="center"/>
    </xf>
    <xf numFmtId="41" fontId="8" fillId="2" borderId="31" xfId="0" applyNumberFormat="1" applyFont="1" applyFill="1" applyBorder="1" applyAlignment="1" applyProtection="1">
      <alignment horizontal="center"/>
      <protection locked="0"/>
    </xf>
    <xf numFmtId="179" fontId="8" fillId="2" borderId="0" xfId="0" applyNumberFormat="1" applyFont="1" applyFill="1" applyAlignment="1">
      <alignment horizontal="center"/>
    </xf>
    <xf numFmtId="9" fontId="29" fillId="2" borderId="28" xfId="9" applyFont="1" applyFill="1" applyBorder="1" applyAlignment="1">
      <alignment horizontal="center"/>
    </xf>
    <xf numFmtId="0" fontId="20" fillId="2" borderId="33" xfId="0" applyFont="1" applyFill="1" applyBorder="1" applyAlignment="1">
      <alignment horizontal="left" wrapText="1"/>
    </xf>
    <xf numFmtId="0" fontId="13" fillId="2" borderId="34" xfId="0" applyFont="1" applyFill="1" applyBorder="1" applyAlignment="1">
      <alignment horizontal="left"/>
    </xf>
    <xf numFmtId="10" fontId="29" fillId="2" borderId="34" xfId="9" applyNumberFormat="1" applyFont="1" applyFill="1" applyBorder="1" applyAlignment="1" applyProtection="1">
      <alignment horizontal="left"/>
      <protection locked="0"/>
    </xf>
    <xf numFmtId="10" fontId="22" fillId="2" borderId="0" xfId="9" applyNumberFormat="1" applyFont="1" applyFill="1" applyBorder="1" applyAlignment="1" applyProtection="1">
      <alignment horizontal="left"/>
      <protection locked="0"/>
    </xf>
    <xf numFmtId="9" fontId="22" fillId="2" borderId="0" xfId="9" applyFont="1" applyFill="1" applyBorder="1" applyAlignment="1">
      <alignment horizontal="center"/>
    </xf>
    <xf numFmtId="9" fontId="22" fillId="2" borderId="28" xfId="9" applyFont="1" applyFill="1" applyBorder="1" applyAlignment="1">
      <alignment horizontal="center"/>
    </xf>
    <xf numFmtId="10" fontId="22" fillId="2" borderId="0" xfId="9" applyNumberFormat="1" applyFont="1" applyFill="1" applyBorder="1" applyAlignment="1">
      <alignment horizontal="center"/>
    </xf>
    <xf numFmtId="10" fontId="22" fillId="2" borderId="28" xfId="9" applyNumberFormat="1" applyFont="1" applyFill="1" applyBorder="1" applyAlignment="1">
      <alignment horizontal="center"/>
    </xf>
    <xf numFmtId="10" fontId="29" fillId="2" borderId="0" xfId="9" applyNumberFormat="1" applyFont="1" applyFill="1" applyBorder="1" applyAlignment="1">
      <alignment horizontal="center"/>
    </xf>
    <xf numFmtId="10" fontId="29" fillId="2" borderId="34" xfId="9" applyNumberFormat="1" applyFont="1" applyFill="1" applyBorder="1" applyAlignment="1">
      <alignment horizontal="center"/>
    </xf>
    <xf numFmtId="10" fontId="29" fillId="2" borderId="35" xfId="9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1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wrapText="1"/>
    </xf>
    <xf numFmtId="165" fontId="29" fillId="2" borderId="3" xfId="0" applyNumberFormat="1" applyFont="1" applyFill="1" applyBorder="1"/>
    <xf numFmtId="165" fontId="29" fillId="2" borderId="31" xfId="0" applyNumberFormat="1" applyFont="1" applyFill="1" applyBorder="1"/>
    <xf numFmtId="0" fontId="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center" wrapText="1"/>
    </xf>
    <xf numFmtId="165" fontId="13" fillId="2" borderId="34" xfId="0" applyNumberFormat="1" applyFont="1" applyFill="1" applyBorder="1"/>
    <xf numFmtId="165" fontId="29" fillId="2" borderId="34" xfId="0" applyNumberFormat="1" applyFont="1" applyFill="1" applyBorder="1"/>
    <xf numFmtId="165" fontId="13" fillId="2" borderId="35" xfId="0" applyNumberFormat="1" applyFont="1" applyFill="1" applyBorder="1"/>
    <xf numFmtId="0" fontId="3" fillId="2" borderId="52" xfId="14" applyFill="1" applyBorder="1" applyAlignment="1">
      <alignment horizontal="left" wrapText="1"/>
    </xf>
    <xf numFmtId="165" fontId="23" fillId="2" borderId="52" xfId="14" applyNumberFormat="1" applyFont="1" applyFill="1" applyBorder="1" applyAlignment="1">
      <alignment vertical="center"/>
    </xf>
    <xf numFmtId="165" fontId="3" fillId="2" borderId="53" xfId="14" applyNumberFormat="1" applyFill="1" applyBorder="1" applyAlignment="1">
      <alignment vertical="center"/>
    </xf>
    <xf numFmtId="165" fontId="3" fillId="2" borderId="54" xfId="14" applyNumberFormat="1" applyFill="1" applyBorder="1" applyAlignment="1">
      <alignment vertical="center"/>
    </xf>
    <xf numFmtId="0" fontId="3" fillId="2" borderId="55" xfId="14" applyFill="1" applyBorder="1" applyAlignment="1">
      <alignment horizontal="left" wrapText="1"/>
    </xf>
    <xf numFmtId="165" fontId="23" fillId="2" borderId="55" xfId="14" applyNumberFormat="1" applyFont="1" applyFill="1" applyBorder="1" applyAlignment="1">
      <alignment vertical="center"/>
    </xf>
    <xf numFmtId="165" fontId="3" fillId="2" borderId="56" xfId="14" applyNumberFormat="1" applyFill="1" applyBorder="1" applyAlignment="1">
      <alignment vertical="center"/>
    </xf>
    <xf numFmtId="165" fontId="3" fillId="2" borderId="57" xfId="14" applyNumberFormat="1" applyFill="1" applyBorder="1" applyAlignment="1">
      <alignment vertical="center"/>
    </xf>
    <xf numFmtId="0" fontId="3" fillId="2" borderId="58" xfId="14" applyFill="1" applyBorder="1" applyAlignment="1">
      <alignment horizontal="left" wrapText="1"/>
    </xf>
    <xf numFmtId="165" fontId="23" fillId="2" borderId="58" xfId="14" applyNumberFormat="1" applyFont="1" applyFill="1" applyBorder="1" applyAlignment="1">
      <alignment vertical="center"/>
    </xf>
    <xf numFmtId="165" fontId="3" fillId="2" borderId="59" xfId="14" applyNumberFormat="1" applyFill="1" applyBorder="1" applyAlignment="1">
      <alignment vertical="center"/>
    </xf>
    <xf numFmtId="165" fontId="3" fillId="2" borderId="60" xfId="14" applyNumberFormat="1" applyFill="1" applyBorder="1" applyAlignment="1">
      <alignment vertical="center"/>
    </xf>
    <xf numFmtId="0" fontId="3" fillId="2" borderId="15" xfId="14" applyFill="1" applyBorder="1" applyAlignment="1">
      <alignment horizontal="left" wrapText="1"/>
    </xf>
    <xf numFmtId="165" fontId="23" fillId="2" borderId="16" xfId="14" applyNumberFormat="1" applyFont="1" applyFill="1" applyBorder="1"/>
    <xf numFmtId="165" fontId="3" fillId="2" borderId="16" xfId="14" applyNumberFormat="1" applyFill="1" applyBorder="1"/>
    <xf numFmtId="165" fontId="3" fillId="2" borderId="17" xfId="14" applyNumberFormat="1" applyFill="1" applyBorder="1"/>
    <xf numFmtId="165" fontId="3" fillId="2" borderId="16" xfId="14" applyNumberFormat="1" applyFill="1" applyBorder="1" applyAlignment="1">
      <alignment horizontal="right"/>
    </xf>
    <xf numFmtId="165" fontId="3" fillId="2" borderId="17" xfId="14" applyNumberForma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165" fontId="3" fillId="0" borderId="11" xfId="1" applyNumberFormat="1" applyFont="1" applyFill="1" applyBorder="1" applyAlignment="1" applyProtection="1">
      <alignment horizontal="right" vertical="center"/>
      <protection locked="0"/>
    </xf>
    <xf numFmtId="165" fontId="3" fillId="2" borderId="0" xfId="0" applyNumberFormat="1" applyFont="1" applyFill="1" applyAlignment="1">
      <alignment horizontal="left"/>
    </xf>
    <xf numFmtId="165" fontId="3" fillId="0" borderId="12" xfId="1" applyNumberFormat="1" applyFont="1" applyFill="1" applyBorder="1" applyAlignment="1" applyProtection="1">
      <alignment horizontal="right" vertical="center"/>
      <protection locked="0"/>
    </xf>
    <xf numFmtId="165" fontId="3" fillId="2" borderId="0" xfId="1" applyNumberFormat="1" applyFont="1" applyFill="1" applyBorder="1" applyAlignment="1">
      <alignment horizontal="left" wrapText="1"/>
    </xf>
    <xf numFmtId="165" fontId="3" fillId="2" borderId="0" xfId="1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center" wrapText="1"/>
    </xf>
    <xf numFmtId="0" fontId="3" fillId="2" borderId="22" xfId="0" applyFont="1" applyFill="1" applyBorder="1" applyAlignment="1">
      <alignment horizontal="left" vertical="center" wrapText="1"/>
    </xf>
    <xf numFmtId="165" fontId="3" fillId="8" borderId="8" xfId="1" applyNumberFormat="1" applyFont="1" applyFill="1" applyBorder="1" applyAlignment="1" applyProtection="1">
      <alignment horizontal="right"/>
      <protection locked="0"/>
    </xf>
    <xf numFmtId="165" fontId="23" fillId="0" borderId="8" xfId="1" applyNumberFormat="1" applyFont="1" applyFill="1" applyBorder="1" applyAlignment="1" applyProtection="1">
      <alignment horizontal="right"/>
    </xf>
    <xf numFmtId="0" fontId="3" fillId="2" borderId="0" xfId="0" applyFont="1" applyFill="1"/>
    <xf numFmtId="165" fontId="3" fillId="8" borderId="8" xfId="1" applyNumberFormat="1" applyFont="1" applyFill="1" applyBorder="1" applyAlignment="1" applyProtection="1">
      <alignment horizontal="right"/>
    </xf>
    <xf numFmtId="0" fontId="23" fillId="2" borderId="0" xfId="14" applyFont="1" applyFill="1" applyAlignment="1">
      <alignment horizontal="center"/>
    </xf>
    <xf numFmtId="41" fontId="22" fillId="2" borderId="8" xfId="14" applyNumberFormat="1" applyFont="1" applyFill="1" applyBorder="1" applyAlignment="1">
      <alignment horizontal="center" vertical="center"/>
    </xf>
    <xf numFmtId="41" fontId="13" fillId="2" borderId="8" xfId="14" applyNumberFormat="1" applyFont="1" applyFill="1" applyBorder="1" applyAlignment="1">
      <alignment horizontal="center" vertical="center" wrapText="1"/>
    </xf>
    <xf numFmtId="0" fontId="13" fillId="2" borderId="13" xfId="14" applyFont="1" applyFill="1" applyBorder="1" applyAlignment="1">
      <alignment horizontal="center"/>
    </xf>
    <xf numFmtId="176" fontId="39" fillId="2" borderId="8" xfId="9" applyNumberFormat="1" applyFont="1" applyFill="1" applyBorder="1" applyAlignment="1"/>
    <xf numFmtId="0" fontId="8" fillId="2" borderId="28" xfId="0" applyFont="1" applyFill="1" applyBorder="1"/>
    <xf numFmtId="165" fontId="13" fillId="0" borderId="50" xfId="2" applyNumberFormat="1" applyFont="1" applyFill="1" applyBorder="1" applyAlignment="1" applyProtection="1">
      <alignment horizontal="center" vertical="center" wrapText="1"/>
    </xf>
    <xf numFmtId="176" fontId="39" fillId="2" borderId="10" xfId="9" applyNumberFormat="1" applyFont="1" applyFill="1" applyBorder="1" applyAlignment="1"/>
    <xf numFmtId="170" fontId="7" fillId="8" borderId="10" xfId="2" applyNumberFormat="1" applyFont="1" applyFill="1" applyBorder="1" applyAlignment="1" applyProtection="1">
      <protection locked="0"/>
    </xf>
    <xf numFmtId="165" fontId="13" fillId="2" borderId="8" xfId="1" applyNumberFormat="1" applyFont="1" applyFill="1" applyBorder="1" applyAlignment="1">
      <alignment wrapText="1"/>
    </xf>
    <xf numFmtId="165" fontId="13" fillId="2" borderId="0" xfId="1" applyNumberFormat="1" applyFont="1" applyFill="1" applyBorder="1" applyAlignment="1">
      <alignment wrapText="1"/>
    </xf>
    <xf numFmtId="0" fontId="5" fillId="2" borderId="0" xfId="0" applyFont="1" applyFill="1" applyAlignment="1">
      <alignment horizontal="left" vertical="center" wrapText="1"/>
    </xf>
    <xf numFmtId="165" fontId="31" fillId="2" borderId="3" xfId="0" applyNumberFormat="1" applyFont="1" applyFill="1" applyBorder="1"/>
    <xf numFmtId="0" fontId="13" fillId="2" borderId="15" xfId="0" applyFont="1" applyFill="1" applyBorder="1" applyAlignment="1">
      <alignment wrapText="1"/>
    </xf>
    <xf numFmtId="170" fontId="13" fillId="2" borderId="38" xfId="2" applyNumberFormat="1" applyFont="1" applyFill="1" applyBorder="1" applyAlignment="1" applyProtection="1">
      <alignment horizontal="left" vertical="center" wrapText="1"/>
    </xf>
    <xf numFmtId="0" fontId="8" fillId="2" borderId="16" xfId="0" applyFont="1" applyFill="1" applyBorder="1"/>
    <xf numFmtId="165" fontId="30" fillId="2" borderId="25" xfId="2" applyNumberFormat="1" applyFont="1" applyFill="1" applyBorder="1" applyAlignment="1" applyProtection="1">
      <alignment horizontal="right" vertical="center" wrapText="1"/>
    </xf>
    <xf numFmtId="165" fontId="30" fillId="2" borderId="37" xfId="2" applyNumberFormat="1" applyFont="1" applyFill="1" applyBorder="1" applyAlignment="1" applyProtection="1">
      <alignment horizontal="right" vertical="center" wrapText="1"/>
    </xf>
    <xf numFmtId="165" fontId="10" fillId="2" borderId="16" xfId="2" applyNumberFormat="1" applyFont="1" applyFill="1" applyBorder="1" applyAlignment="1" applyProtection="1">
      <alignment horizontal="right"/>
    </xf>
    <xf numFmtId="170" fontId="31" fillId="2" borderId="16" xfId="2" applyNumberFormat="1" applyFont="1" applyFill="1" applyBorder="1" applyAlignment="1" applyProtection="1"/>
    <xf numFmtId="165" fontId="31" fillId="2" borderId="16" xfId="0" applyNumberFormat="1" applyFont="1" applyFill="1" applyBorder="1"/>
    <xf numFmtId="178" fontId="39" fillId="9" borderId="8" xfId="0" applyNumberFormat="1" applyFont="1" applyFill="1" applyBorder="1" applyAlignment="1">
      <alignment vertical="center"/>
    </xf>
    <xf numFmtId="178" fontId="39" fillId="9" borderId="10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wrapText="1"/>
    </xf>
    <xf numFmtId="165" fontId="13" fillId="2" borderId="17" xfId="0" applyNumberFormat="1" applyFont="1" applyFill="1" applyBorder="1" applyAlignment="1">
      <alignment horizontal="right"/>
    </xf>
    <xf numFmtId="169" fontId="29" fillId="2" borderId="28" xfId="1" applyNumberFormat="1" applyFont="1" applyFill="1" applyBorder="1"/>
    <xf numFmtId="169" fontId="20" fillId="2" borderId="29" xfId="1" applyNumberFormat="1" applyFont="1" applyFill="1" applyBorder="1"/>
    <xf numFmtId="41" fontId="13" fillId="0" borderId="14" xfId="0" applyNumberFormat="1" applyFont="1" applyBorder="1" applyAlignment="1">
      <alignment horizontal="center" vertical="center" wrapText="1"/>
    </xf>
    <xf numFmtId="41" fontId="13" fillId="0" borderId="8" xfId="0" applyNumberFormat="1" applyFont="1" applyBorder="1" applyAlignment="1">
      <alignment horizontal="center" vertical="center" wrapText="1"/>
    </xf>
    <xf numFmtId="41" fontId="13" fillId="2" borderId="40" xfId="0" applyNumberFormat="1" applyFont="1" applyFill="1" applyBorder="1" applyAlignment="1">
      <alignment horizontal="center" vertical="center" wrapText="1"/>
    </xf>
    <xf numFmtId="41" fontId="13" fillId="2" borderId="27" xfId="0" applyNumberFormat="1" applyFont="1" applyFill="1" applyBorder="1" applyAlignment="1">
      <alignment horizontal="center" vertical="center" wrapText="1"/>
    </xf>
    <xf numFmtId="41" fontId="13" fillId="2" borderId="37" xfId="0" applyNumberFormat="1" applyFont="1" applyFill="1" applyBorder="1" applyAlignment="1">
      <alignment horizontal="center" vertical="center" wrapText="1"/>
    </xf>
    <xf numFmtId="10" fontId="20" fillId="2" borderId="29" xfId="9" applyNumberFormat="1" applyFont="1" applyFill="1" applyBorder="1"/>
    <xf numFmtId="171" fontId="20" fillId="12" borderId="41" xfId="0" applyNumberFormat="1" applyFont="1" applyFill="1" applyBorder="1"/>
    <xf numFmtId="10" fontId="29" fillId="2" borderId="28" xfId="9" applyNumberFormat="1" applyFont="1" applyFill="1" applyBorder="1" applyAlignment="1">
      <alignment horizontal="center"/>
    </xf>
    <xf numFmtId="183" fontId="8" fillId="2" borderId="0" xfId="0" applyNumberFormat="1" applyFont="1" applyFill="1" applyAlignment="1">
      <alignment horizontal="center"/>
    </xf>
    <xf numFmtId="41" fontId="8" fillId="2" borderId="21" xfId="0" applyNumberFormat="1" applyFont="1" applyFill="1" applyBorder="1" applyAlignment="1" applyProtection="1">
      <alignment horizontal="center"/>
      <protection locked="0"/>
    </xf>
    <xf numFmtId="41" fontId="8" fillId="2" borderId="2" xfId="0" applyNumberFormat="1" applyFont="1" applyFill="1" applyBorder="1" applyAlignment="1" applyProtection="1">
      <alignment horizontal="center" wrapText="1"/>
      <protection locked="0"/>
    </xf>
    <xf numFmtId="180" fontId="0" fillId="9" borderId="7" xfId="1" applyNumberFormat="1" applyFont="1" applyFill="1" applyBorder="1"/>
    <xf numFmtId="180" fontId="0" fillId="9" borderId="28" xfId="1" applyNumberFormat="1" applyFont="1" applyFill="1" applyBorder="1"/>
    <xf numFmtId="179" fontId="32" fillId="9" borderId="7" xfId="0" applyNumberFormat="1" applyFont="1" applyFill="1" applyBorder="1" applyAlignment="1" applyProtection="1">
      <alignment horizontal="center" wrapText="1"/>
      <protection locked="0"/>
    </xf>
    <xf numFmtId="179" fontId="32" fillId="9" borderId="11" xfId="0" applyNumberFormat="1" applyFont="1" applyFill="1" applyBorder="1" applyAlignment="1" applyProtection="1">
      <alignment horizontal="center"/>
      <protection locked="0"/>
    </xf>
    <xf numFmtId="179" fontId="3" fillId="9" borderId="9" xfId="0" applyNumberFormat="1" applyFont="1" applyFill="1" applyBorder="1" applyAlignment="1" applyProtection="1">
      <alignment horizontal="center" wrapText="1"/>
      <protection locked="0"/>
    </xf>
    <xf numFmtId="179" fontId="3" fillId="9" borderId="49" xfId="0" applyNumberFormat="1" applyFont="1" applyFill="1" applyBorder="1" applyAlignment="1" applyProtection="1">
      <alignment horizontal="center" wrapText="1"/>
      <protection locked="0"/>
    </xf>
    <xf numFmtId="165" fontId="43" fillId="0" borderId="8" xfId="1" applyNumberFormat="1" applyFont="1" applyFill="1" applyBorder="1" applyAlignment="1" applyProtection="1">
      <alignment horizontal="right"/>
    </xf>
    <xf numFmtId="169" fontId="43" fillId="0" borderId="11" xfId="2" applyNumberFormat="1" applyFont="1" applyFill="1" applyBorder="1" applyAlignment="1" applyProtection="1">
      <alignment vertical="center"/>
    </xf>
    <xf numFmtId="165" fontId="43" fillId="0" borderId="7" xfId="2" applyNumberFormat="1" applyFont="1" applyFill="1" applyBorder="1" applyAlignment="1">
      <alignment vertical="center"/>
    </xf>
    <xf numFmtId="165" fontId="43" fillId="0" borderId="9" xfId="2" applyNumberFormat="1" applyFont="1" applyFill="1" applyBorder="1" applyAlignment="1">
      <alignment vertical="center"/>
    </xf>
    <xf numFmtId="0" fontId="44" fillId="8" borderId="7" xfId="0" applyFont="1" applyFill="1" applyBorder="1"/>
    <xf numFmtId="0" fontId="44" fillId="8" borderId="9" xfId="0" applyFont="1" applyFill="1" applyBorder="1"/>
    <xf numFmtId="165" fontId="7" fillId="9" borderId="12" xfId="0" applyNumberFormat="1" applyFont="1" applyFill="1" applyBorder="1" applyAlignment="1" applyProtection="1">
      <alignment wrapText="1"/>
      <protection locked="0"/>
    </xf>
    <xf numFmtId="165" fontId="3" fillId="2" borderId="27" xfId="2" applyNumberFormat="1" applyFont="1" applyFill="1" applyBorder="1" applyAlignment="1" applyProtection="1"/>
    <xf numFmtId="170" fontId="3" fillId="2" borderId="27" xfId="2" applyNumberFormat="1" applyFont="1" applyFill="1" applyBorder="1" applyAlignment="1" applyProtection="1"/>
    <xf numFmtId="169" fontId="3" fillId="2" borderId="27" xfId="2" applyNumberFormat="1" applyFont="1" applyFill="1" applyBorder="1" applyAlignment="1" applyProtection="1"/>
    <xf numFmtId="165" fontId="3" fillId="2" borderId="37" xfId="2" applyNumberFormat="1" applyFont="1" applyFill="1" applyBorder="1" applyAlignment="1" applyProtection="1">
      <alignment horizontal="right"/>
    </xf>
    <xf numFmtId="169" fontId="13" fillId="0" borderId="11" xfId="2" applyNumberFormat="1" applyFont="1" applyFill="1" applyBorder="1" applyAlignment="1" applyProtection="1">
      <alignment horizontal="center" vertical="center" wrapText="1"/>
    </xf>
    <xf numFmtId="171" fontId="44" fillId="8" borderId="8" xfId="0" applyNumberFormat="1" applyFont="1" applyFill="1" applyBorder="1" applyAlignment="1" applyProtection="1">
      <alignment horizontal="right"/>
      <protection locked="0"/>
    </xf>
    <xf numFmtId="165" fontId="3" fillId="0" borderId="8" xfId="0" applyNumberFormat="1" applyFont="1" applyBorder="1" applyAlignment="1">
      <alignment horizontal="right"/>
    </xf>
    <xf numFmtId="182" fontId="3" fillId="2" borderId="51" xfId="0" applyNumberFormat="1" applyFont="1" applyFill="1" applyBorder="1" applyAlignment="1">
      <alignment horizontal="center" wrapText="1"/>
    </xf>
    <xf numFmtId="181" fontId="3" fillId="2" borderId="51" xfId="0" applyNumberFormat="1" applyFont="1" applyFill="1" applyBorder="1" applyAlignment="1">
      <alignment horizontal="center" wrapText="1"/>
    </xf>
    <xf numFmtId="179" fontId="3" fillId="2" borderId="61" xfId="0" applyNumberFormat="1" applyFont="1" applyFill="1" applyBorder="1" applyAlignment="1">
      <alignment horizontal="center" wrapText="1"/>
    </xf>
    <xf numFmtId="169" fontId="23" fillId="8" borderId="8" xfId="2" applyNumberFormat="1" applyFont="1" applyFill="1" applyBorder="1" applyAlignment="1" applyProtection="1">
      <alignment vertical="center"/>
    </xf>
    <xf numFmtId="170" fontId="45" fillId="8" borderId="8" xfId="2" applyNumberFormat="1" applyFont="1" applyFill="1" applyBorder="1" applyAlignment="1" applyProtection="1">
      <protection locked="0"/>
    </xf>
    <xf numFmtId="166" fontId="7" fillId="9" borderId="11" xfId="0" applyNumberFormat="1" applyFont="1" applyFill="1" applyBorder="1" applyAlignment="1" applyProtection="1">
      <alignment wrapText="1"/>
      <protection locked="0"/>
    </xf>
    <xf numFmtId="41" fontId="23" fillId="10" borderId="8" xfId="0" applyNumberFormat="1" applyFont="1" applyFill="1" applyBorder="1" applyAlignment="1">
      <alignment horizontal="right"/>
    </xf>
    <xf numFmtId="179" fontId="44" fillId="8" borderId="7" xfId="0" applyNumberFormat="1" applyFont="1" applyFill="1" applyBorder="1" applyAlignment="1" applyProtection="1">
      <alignment horizontal="center" wrapText="1"/>
      <protection locked="0"/>
    </xf>
    <xf numFmtId="180" fontId="23" fillId="8" borderId="51" xfId="0" applyNumberFormat="1" applyFont="1" applyFill="1" applyBorder="1" applyAlignment="1">
      <alignment horizontal="center" wrapText="1"/>
    </xf>
    <xf numFmtId="171" fontId="7" fillId="2" borderId="0" xfId="0" applyNumberFormat="1" applyFont="1" applyFill="1"/>
    <xf numFmtId="0" fontId="3" fillId="0" borderId="8" xfId="0" applyFont="1" applyBorder="1"/>
    <xf numFmtId="169" fontId="43" fillId="0" borderId="12" xfId="2" applyNumberFormat="1" applyFont="1" applyFill="1" applyBorder="1" applyAlignment="1" applyProtection="1">
      <alignment vertical="center"/>
    </xf>
    <xf numFmtId="165" fontId="29" fillId="2" borderId="32" xfId="0" applyNumberFormat="1" applyFont="1" applyFill="1" applyBorder="1"/>
    <xf numFmtId="171" fontId="20" fillId="2" borderId="32" xfId="0" applyNumberFormat="1" applyFont="1" applyFill="1" applyBorder="1"/>
    <xf numFmtId="165" fontId="23" fillId="2" borderId="29" xfId="0" applyNumberFormat="1" applyFont="1" applyFill="1" applyBorder="1"/>
    <xf numFmtId="165" fontId="6" fillId="2" borderId="3" xfId="0" applyNumberFormat="1" applyFont="1" applyFill="1" applyBorder="1"/>
    <xf numFmtId="165" fontId="20" fillId="2" borderId="3" xfId="0" applyNumberFormat="1" applyFont="1" applyFill="1" applyBorder="1"/>
    <xf numFmtId="165" fontId="7" fillId="2" borderId="3" xfId="0" applyNumberFormat="1" applyFont="1" applyFill="1" applyBorder="1"/>
    <xf numFmtId="165" fontId="22" fillId="2" borderId="41" xfId="0" applyNumberFormat="1" applyFont="1" applyFill="1" applyBorder="1"/>
    <xf numFmtId="165" fontId="13" fillId="2" borderId="41" xfId="0" applyNumberFormat="1" applyFont="1" applyFill="1" applyBorder="1"/>
    <xf numFmtId="0" fontId="3" fillId="4" borderId="62" xfId="0" applyFont="1" applyFill="1" applyBorder="1" applyAlignment="1">
      <alignment horizontal="left" vertical="center" wrapText="1"/>
    </xf>
    <xf numFmtId="165" fontId="0" fillId="0" borderId="0" xfId="0" applyNumberFormat="1"/>
    <xf numFmtId="184" fontId="0" fillId="0" borderId="0" xfId="0" applyNumberFormat="1"/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9" fontId="0" fillId="0" borderId="2" xfId="1" applyNumberFormat="1" applyFont="1" applyBorder="1"/>
    <xf numFmtId="169" fontId="0" fillId="0" borderId="28" xfId="1" applyNumberFormat="1" applyFont="1" applyBorder="1"/>
    <xf numFmtId="169" fontId="0" fillId="0" borderId="2" xfId="1" applyNumberFormat="1" applyFont="1" applyFill="1" applyBorder="1"/>
    <xf numFmtId="169" fontId="0" fillId="0" borderId="28" xfId="1" applyNumberFormat="1" applyFont="1" applyFill="1" applyBorder="1"/>
    <xf numFmtId="169" fontId="0" fillId="0" borderId="33" xfId="1" applyNumberFormat="1" applyFont="1" applyBorder="1"/>
    <xf numFmtId="169" fontId="0" fillId="0" borderId="35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4" borderId="63" xfId="0" applyFont="1" applyFill="1" applyBorder="1" applyAlignment="1">
      <alignment horizontal="left" vertical="center" wrapText="1"/>
    </xf>
    <xf numFmtId="0" fontId="0" fillId="0" borderId="19" xfId="0" applyBorder="1"/>
    <xf numFmtId="10" fontId="0" fillId="0" borderId="19" xfId="0" applyNumberFormat="1" applyBorder="1"/>
    <xf numFmtId="0" fontId="0" fillId="0" borderId="64" xfId="0" applyBorder="1"/>
    <xf numFmtId="10" fontId="0" fillId="0" borderId="0" xfId="9" applyNumberFormat="1" applyFont="1" applyBorder="1"/>
    <xf numFmtId="0" fontId="0" fillId="0" borderId="23" xfId="0" applyBorder="1"/>
    <xf numFmtId="0" fontId="3" fillId="4" borderId="65" xfId="0" applyFont="1" applyFill="1" applyBorder="1" applyAlignment="1">
      <alignment horizontal="left" vertical="center" wrapText="1"/>
    </xf>
    <xf numFmtId="0" fontId="0" fillId="0" borderId="30" xfId="0" applyBorder="1"/>
    <xf numFmtId="184" fontId="0" fillId="0" borderId="30" xfId="0" applyNumberFormat="1" applyBorder="1"/>
    <xf numFmtId="184" fontId="0" fillId="0" borderId="24" xfId="0" applyNumberFormat="1" applyBorder="1"/>
    <xf numFmtId="169" fontId="0" fillId="0" borderId="18" xfId="1" applyNumberFormat="1" applyFont="1" applyBorder="1"/>
    <xf numFmtId="169" fontId="0" fillId="0" borderId="66" xfId="1" applyNumberFormat="1" applyFont="1" applyBorder="1"/>
    <xf numFmtId="169" fontId="0" fillId="0" borderId="67" xfId="1" applyNumberFormat="1" applyFont="1" applyBorder="1"/>
    <xf numFmtId="169" fontId="0" fillId="0" borderId="36" xfId="1" applyNumberFormat="1" applyFont="1" applyBorder="1"/>
    <xf numFmtId="0" fontId="3" fillId="0" borderId="30" xfId="0" applyFont="1" applyBorder="1" applyAlignment="1">
      <alignment horizontal="left" vertical="center" wrapText="1"/>
    </xf>
    <xf numFmtId="169" fontId="23" fillId="0" borderId="30" xfId="2" applyNumberFormat="1" applyFont="1" applyFill="1" applyBorder="1" applyAlignment="1" applyProtection="1">
      <alignment vertical="center"/>
    </xf>
    <xf numFmtId="179" fontId="44" fillId="8" borderId="11" xfId="0" applyNumberFormat="1" applyFont="1" applyFill="1" applyBorder="1" applyAlignment="1" applyProtection="1">
      <alignment horizontal="center" wrapText="1"/>
      <protection locked="0"/>
    </xf>
    <xf numFmtId="165" fontId="13" fillId="2" borderId="16" xfId="1" applyNumberFormat="1" applyFont="1" applyFill="1" applyBorder="1" applyAlignment="1" applyProtection="1">
      <alignment horizontal="right" vertical="center" wrapText="1"/>
    </xf>
    <xf numFmtId="165" fontId="13" fillId="2" borderId="15" xfId="0" applyNumberFormat="1" applyFont="1" applyFill="1" applyBorder="1" applyAlignment="1">
      <alignment horizontal="right" vertical="center"/>
    </xf>
    <xf numFmtId="0" fontId="46" fillId="2" borderId="0" xfId="0" applyFont="1" applyFill="1"/>
    <xf numFmtId="169" fontId="0" fillId="0" borderId="0" xfId="1" applyNumberFormat="1" applyFont="1"/>
    <xf numFmtId="0" fontId="13" fillId="2" borderId="41" xfId="0" applyFont="1" applyFill="1" applyBorder="1" applyAlignment="1">
      <alignment horizontal="left" vertical="center" wrapText="1"/>
    </xf>
    <xf numFmtId="0" fontId="13" fillId="2" borderId="41" xfId="0" applyFont="1" applyFill="1" applyBorder="1" applyAlignment="1">
      <alignment horizontal="center" vertical="center"/>
    </xf>
    <xf numFmtId="169" fontId="0" fillId="0" borderId="0" xfId="0" applyNumberFormat="1"/>
    <xf numFmtId="165" fontId="3" fillId="0" borderId="0" xfId="0" applyNumberFormat="1" applyFont="1"/>
    <xf numFmtId="0" fontId="47" fillId="2" borderId="31" xfId="0" applyFont="1" applyFill="1" applyBorder="1" applyAlignment="1">
      <alignment horizontal="center"/>
    </xf>
    <xf numFmtId="171" fontId="47" fillId="2" borderId="31" xfId="0" applyNumberFormat="1" applyFont="1" applyFill="1" applyBorder="1" applyAlignment="1">
      <alignment horizontal="center"/>
    </xf>
    <xf numFmtId="171" fontId="47" fillId="2" borderId="35" xfId="0" applyNumberFormat="1" applyFont="1" applyFill="1" applyBorder="1" applyAlignment="1">
      <alignment horizontal="center"/>
    </xf>
    <xf numFmtId="0" fontId="48" fillId="2" borderId="21" xfId="0" applyFont="1" applyFill="1" applyBorder="1"/>
    <xf numFmtId="41" fontId="48" fillId="2" borderId="21" xfId="0" applyNumberFormat="1" applyFont="1" applyFill="1" applyBorder="1"/>
    <xf numFmtId="41" fontId="48" fillId="2" borderId="33" xfId="0" applyNumberFormat="1" applyFont="1" applyFill="1" applyBorder="1"/>
    <xf numFmtId="0" fontId="47" fillId="2" borderId="15" xfId="0" applyFont="1" applyFill="1" applyBorder="1"/>
    <xf numFmtId="0" fontId="47" fillId="14" borderId="4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left" vertical="center"/>
    </xf>
    <xf numFmtId="0" fontId="13" fillId="2" borderId="0" xfId="0" applyFont="1" applyFill="1" applyAlignment="1" applyProtection="1">
      <alignment horizontal="left" wrapText="1"/>
      <protection locked="0"/>
    </xf>
    <xf numFmtId="41" fontId="48" fillId="2" borderId="0" xfId="0" applyNumberFormat="1" applyFont="1" applyFill="1"/>
    <xf numFmtId="171" fontId="47" fillId="2" borderId="0" xfId="0" applyNumberFormat="1" applyFont="1" applyFill="1" applyAlignment="1">
      <alignment horizontal="center"/>
    </xf>
    <xf numFmtId="0" fontId="3" fillId="10" borderId="1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0" xfId="0" applyBorder="1" applyAlignment="1">
      <alignment vertical="center"/>
    </xf>
    <xf numFmtId="0" fontId="47" fillId="2" borderId="32" xfId="0" applyFont="1" applyFill="1" applyBorder="1" applyAlignment="1">
      <alignment horizontal="center"/>
    </xf>
    <xf numFmtId="171" fontId="47" fillId="2" borderId="32" xfId="0" applyNumberFormat="1" applyFont="1" applyFill="1" applyBorder="1" applyAlignment="1">
      <alignment horizontal="center"/>
    </xf>
    <xf numFmtId="171" fontId="47" fillId="2" borderId="41" xfId="0" applyNumberFormat="1" applyFont="1" applyFill="1" applyBorder="1" applyAlignment="1">
      <alignment horizontal="center"/>
    </xf>
    <xf numFmtId="0" fontId="48" fillId="2" borderId="13" xfId="0" applyFont="1" applyFill="1" applyBorder="1"/>
    <xf numFmtId="176" fontId="48" fillId="2" borderId="8" xfId="9" applyNumberFormat="1" applyFont="1" applyFill="1" applyBorder="1"/>
    <xf numFmtId="0" fontId="7" fillId="2" borderId="2" xfId="0" applyFont="1" applyFill="1" applyBorder="1"/>
    <xf numFmtId="0" fontId="7" fillId="2" borderId="28" xfId="0" applyFont="1" applyFill="1" applyBorder="1"/>
    <xf numFmtId="0" fontId="48" fillId="2" borderId="68" xfId="0" applyFont="1" applyFill="1" applyBorder="1"/>
    <xf numFmtId="176" fontId="48" fillId="2" borderId="11" xfId="9" applyNumberFormat="1" applyFont="1" applyFill="1" applyBorder="1"/>
    <xf numFmtId="0" fontId="48" fillId="2" borderId="69" xfId="0" applyFont="1" applyFill="1" applyBorder="1"/>
    <xf numFmtId="0" fontId="48" fillId="2" borderId="70" xfId="0" applyFont="1" applyFill="1" applyBorder="1"/>
    <xf numFmtId="176" fontId="48" fillId="2" borderId="10" xfId="9" applyNumberFormat="1" applyFont="1" applyFill="1" applyBorder="1"/>
    <xf numFmtId="176" fontId="48" fillId="2" borderId="12" xfId="9" applyNumberFormat="1" applyFont="1" applyFill="1" applyBorder="1"/>
    <xf numFmtId="10" fontId="7" fillId="2" borderId="0" xfId="0" applyNumberFormat="1" applyFont="1" applyFill="1"/>
    <xf numFmtId="0" fontId="3" fillId="13" borderId="4" xfId="0" applyFont="1" applyFill="1" applyBorder="1" applyAlignment="1">
      <alignment horizontal="center"/>
    </xf>
    <xf numFmtId="0" fontId="47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 indent="1"/>
    </xf>
    <xf numFmtId="0" fontId="24" fillId="2" borderId="0" xfId="14" applyFont="1" applyFill="1"/>
    <xf numFmtId="41" fontId="8" fillId="2" borderId="21" xfId="0" applyNumberFormat="1" applyFont="1" applyFill="1" applyBorder="1" applyAlignment="1">
      <alignment horizontal="left"/>
    </xf>
    <xf numFmtId="41" fontId="8" fillId="2" borderId="31" xfId="0" applyNumberFormat="1" applyFont="1" applyFill="1" applyBorder="1" applyAlignment="1">
      <alignment horizontal="left" wrapText="1"/>
    </xf>
    <xf numFmtId="41" fontId="8" fillId="2" borderId="28" xfId="0" applyNumberFormat="1" applyFont="1" applyFill="1" applyBorder="1" applyAlignment="1">
      <alignment horizontal="left" wrapText="1"/>
    </xf>
    <xf numFmtId="41" fontId="3" fillId="2" borderId="28" xfId="0" applyNumberFormat="1" applyFont="1" applyFill="1" applyBorder="1" applyAlignment="1">
      <alignment horizontal="left" wrapText="1"/>
    </xf>
    <xf numFmtId="41" fontId="13" fillId="2" borderId="33" xfId="0" applyNumberFormat="1" applyFont="1" applyFill="1" applyBorder="1" applyAlignment="1">
      <alignment horizontal="left"/>
    </xf>
    <xf numFmtId="41" fontId="3" fillId="2" borderId="35" xfId="0" applyNumberFormat="1" applyFont="1" applyFill="1" applyBorder="1" applyAlignment="1">
      <alignment horizontal="left" wrapText="1"/>
    </xf>
    <xf numFmtId="0" fontId="49" fillId="0" borderId="0" xfId="0" applyFont="1"/>
    <xf numFmtId="0" fontId="49" fillId="0" borderId="0" xfId="0" quotePrefix="1" applyFont="1"/>
    <xf numFmtId="0" fontId="50" fillId="0" borderId="0" xfId="0" applyFont="1" applyAlignment="1">
      <alignment horizontal="center"/>
    </xf>
    <xf numFmtId="165" fontId="13" fillId="2" borderId="9" xfId="1" applyNumberFormat="1" applyFont="1" applyFill="1" applyBorder="1" applyAlignment="1">
      <alignment horizontal="left" vertical="center" wrapText="1"/>
    </xf>
    <xf numFmtId="165" fontId="13" fillId="2" borderId="10" xfId="1" applyNumberFormat="1" applyFont="1" applyFill="1" applyBorder="1" applyAlignment="1">
      <alignment horizontal="left" vertical="center" wrapText="1"/>
    </xf>
    <xf numFmtId="165" fontId="13" fillId="2" borderId="7" xfId="1" applyNumberFormat="1" applyFont="1" applyFill="1" applyBorder="1" applyAlignment="1">
      <alignment horizontal="left" vertical="center" wrapText="1"/>
    </xf>
    <xf numFmtId="165" fontId="13" fillId="2" borderId="8" xfId="1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165" fontId="28" fillId="2" borderId="15" xfId="2" applyNumberFormat="1" applyFont="1" applyFill="1" applyBorder="1" applyAlignment="1" applyProtection="1">
      <alignment horizontal="center" vertical="center"/>
    </xf>
    <xf numFmtId="165" fontId="28" fillId="2" borderId="16" xfId="2" applyNumberFormat="1" applyFont="1" applyFill="1" applyBorder="1" applyAlignment="1" applyProtection="1">
      <alignment horizontal="center" vertical="center"/>
    </xf>
    <xf numFmtId="165" fontId="28" fillId="2" borderId="17" xfId="2" applyNumberFormat="1" applyFont="1" applyFill="1" applyBorder="1" applyAlignment="1" applyProtection="1">
      <alignment horizontal="center" vertical="center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8" fillId="2" borderId="45" xfId="2" applyNumberFormat="1" applyFont="1" applyFill="1" applyBorder="1" applyAlignment="1" applyProtection="1">
      <alignment horizontal="center" wrapText="1"/>
    </xf>
    <xf numFmtId="0" fontId="8" fillId="2" borderId="46" xfId="2" applyNumberFormat="1" applyFont="1" applyFill="1" applyBorder="1" applyAlignment="1" applyProtection="1">
      <alignment horizontal="center" wrapText="1"/>
    </xf>
    <xf numFmtId="0" fontId="8" fillId="2" borderId="47" xfId="2" applyNumberFormat="1" applyFont="1" applyFill="1" applyBorder="1" applyAlignment="1" applyProtection="1">
      <alignment horizontal="center" wrapText="1"/>
    </xf>
    <xf numFmtId="0" fontId="35" fillId="0" borderId="23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9" fillId="2" borderId="1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27" fillId="0" borderId="23" xfId="0" applyFont="1" applyBorder="1" applyAlignment="1">
      <alignment horizontal="left" vertical="center"/>
    </xf>
    <xf numFmtId="41" fontId="13" fillId="2" borderId="71" xfId="0" applyNumberFormat="1" applyFont="1" applyFill="1" applyBorder="1" applyAlignment="1">
      <alignment horizontal="center"/>
    </xf>
    <xf numFmtId="41" fontId="18" fillId="2" borderId="72" xfId="0" applyNumberFormat="1" applyFont="1" applyFill="1" applyBorder="1" applyAlignment="1">
      <alignment horizontal="center"/>
    </xf>
    <xf numFmtId="0" fontId="35" fillId="2" borderId="0" xfId="0" applyFont="1" applyFill="1" applyAlignment="1">
      <alignment horizontal="left"/>
    </xf>
    <xf numFmtId="41" fontId="7" fillId="2" borderId="0" xfId="0" applyNumberFormat="1" applyFont="1" applyFill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28" xfId="0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25" fillId="2" borderId="0" xfId="14" applyFont="1" applyFill="1" applyAlignment="1">
      <alignment horizontal="left" vertical="justify"/>
    </xf>
    <xf numFmtId="0" fontId="7" fillId="2" borderId="0" xfId="0" applyFont="1" applyFill="1" applyAlignment="1">
      <alignment horizontal="left" vertical="top" wrapText="1"/>
    </xf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</cellXfs>
  <cellStyles count="20">
    <cellStyle name="Comma" xfId="1" builtinId="3"/>
    <cellStyle name="Comma 2" xfId="12"/>
    <cellStyle name="Comma 3" xfId="18"/>
    <cellStyle name="Comma_Changes" xfId="2"/>
    <cellStyle name="Comma0" xfId="3"/>
    <cellStyle name="Currency" xfId="15" builtinId="4"/>
    <cellStyle name="Currency 2" xfId="1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eutral 2" xfId="19"/>
    <cellStyle name="Normal" xfId="0" builtinId="0"/>
    <cellStyle name="Normal 2" xfId="14"/>
    <cellStyle name="Normal 3" xfId="16"/>
    <cellStyle name="Normal 4" xfId="17"/>
    <cellStyle name="Percent" xfId="9" builtinId="5"/>
    <cellStyle name="Percent 2" xfId="11"/>
    <cellStyle name="Total" xfId="10" builtinId="25" customBuiltin="1"/>
  </cellStyles>
  <dxfs count="3">
    <dxf>
      <fill>
        <patternFill>
          <bgColor theme="5" tint="0.79998168889431442"/>
        </patternFill>
      </fill>
    </dxf>
    <dxf>
      <fill>
        <patternFill>
          <bgColor indexed="1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0000FF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47625</xdr:rowOff>
    </xdr:from>
    <xdr:to>
      <xdr:col>1</xdr:col>
      <xdr:colOff>1760220</xdr:colOff>
      <xdr:row>4</xdr:row>
      <xdr:rowOff>127635</xdr:rowOff>
    </xdr:to>
    <xdr:grpSp>
      <xdr:nvGrpSpPr>
        <xdr:cNvPr id="35844" name="Group 13">
          <a:extLst>
            <a:ext uri="{FF2B5EF4-FFF2-40B4-BE49-F238E27FC236}">
              <a16:creationId xmlns:a16="http://schemas.microsoft.com/office/drawing/2014/main" id="{00000000-0008-0000-0400-0000048C0000}"/>
            </a:ext>
          </a:extLst>
        </xdr:cNvPr>
        <xdr:cNvGrpSpPr>
          <a:grpSpLocks/>
        </xdr:cNvGrpSpPr>
      </xdr:nvGrpSpPr>
      <xdr:grpSpPr bwMode="auto">
        <a:xfrm>
          <a:off x="104775" y="390525"/>
          <a:ext cx="2398395" cy="384810"/>
          <a:chOff x="11" y="147"/>
          <a:chExt cx="521" cy="83"/>
        </a:xfrm>
      </xdr:grpSpPr>
      <xdr:sp macro="" textlink="">
        <xdr:nvSpPr>
          <xdr:cNvPr id="35848" name="AutoShape 14">
            <a:extLst>
              <a:ext uri="{FF2B5EF4-FFF2-40B4-BE49-F238E27FC236}">
                <a16:creationId xmlns:a16="http://schemas.microsoft.com/office/drawing/2014/main" id="{00000000-0008-0000-0400-0000088C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855" name="Text Box 15">
            <a:extLst>
              <a:ext uri="{FF2B5EF4-FFF2-40B4-BE49-F238E27FC236}">
                <a16:creationId xmlns:a16="http://schemas.microsoft.com/office/drawing/2014/main" id="{00000000-0008-0000-0400-00000F8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2</xdr:col>
      <xdr:colOff>161925</xdr:colOff>
      <xdr:row>5</xdr:row>
      <xdr:rowOff>85725</xdr:rowOff>
    </xdr:to>
    <xdr:grpSp>
      <xdr:nvGrpSpPr>
        <xdr:cNvPr id="24584" name="Group 11">
          <a:extLst>
            <a:ext uri="{FF2B5EF4-FFF2-40B4-BE49-F238E27FC236}">
              <a16:creationId xmlns:a16="http://schemas.microsoft.com/office/drawing/2014/main" id="{00000000-0008-0000-0700-000008600000}"/>
            </a:ext>
          </a:extLst>
        </xdr:cNvPr>
        <xdr:cNvGrpSpPr>
          <a:grpSpLocks/>
        </xdr:cNvGrpSpPr>
      </xdr:nvGrpSpPr>
      <xdr:grpSpPr bwMode="auto">
        <a:xfrm>
          <a:off x="38100" y="381000"/>
          <a:ext cx="5772150" cy="542925"/>
          <a:chOff x="11" y="147"/>
          <a:chExt cx="521" cy="83"/>
        </a:xfrm>
      </xdr:grpSpPr>
      <xdr:sp macro="" textlink="">
        <xdr:nvSpPr>
          <xdr:cNvPr id="24585" name="AutoShape 12">
            <a:extLst>
              <a:ext uri="{FF2B5EF4-FFF2-40B4-BE49-F238E27FC236}">
                <a16:creationId xmlns:a16="http://schemas.microsoft.com/office/drawing/2014/main" id="{00000000-0008-0000-0700-00000960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589" name="Text Box 13">
            <a:extLst>
              <a:ext uri="{FF2B5EF4-FFF2-40B4-BE49-F238E27FC236}">
                <a16:creationId xmlns:a16="http://schemas.microsoft.com/office/drawing/2014/main" id="{00000000-0008-0000-0700-00000D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38100</xdr:rowOff>
    </xdr:from>
    <xdr:to>
      <xdr:col>3</xdr:col>
      <xdr:colOff>0</xdr:colOff>
      <xdr:row>6</xdr:row>
      <xdr:rowOff>0</xdr:rowOff>
    </xdr:to>
    <xdr:grpSp>
      <xdr:nvGrpSpPr>
        <xdr:cNvPr id="26629" name="Group 8">
          <a:extLst>
            <a:ext uri="{FF2B5EF4-FFF2-40B4-BE49-F238E27FC236}">
              <a16:creationId xmlns:a16="http://schemas.microsoft.com/office/drawing/2014/main" id="{00000000-0008-0000-0900-000005680000}"/>
            </a:ext>
          </a:extLst>
        </xdr:cNvPr>
        <xdr:cNvGrpSpPr>
          <a:grpSpLocks/>
        </xdr:cNvGrpSpPr>
      </xdr:nvGrpSpPr>
      <xdr:grpSpPr bwMode="auto">
        <a:xfrm>
          <a:off x="66675" y="381000"/>
          <a:ext cx="7000875" cy="533400"/>
          <a:chOff x="11" y="147"/>
          <a:chExt cx="521" cy="83"/>
        </a:xfrm>
      </xdr:grpSpPr>
      <xdr:sp macro="" textlink="">
        <xdr:nvSpPr>
          <xdr:cNvPr id="26630" name="AutoShape 9">
            <a:extLst>
              <a:ext uri="{FF2B5EF4-FFF2-40B4-BE49-F238E27FC236}">
                <a16:creationId xmlns:a16="http://schemas.microsoft.com/office/drawing/2014/main" id="{00000000-0008-0000-0900-00000668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634" name="Text Box 10">
            <a:extLst>
              <a:ext uri="{FF2B5EF4-FFF2-40B4-BE49-F238E27FC236}">
                <a16:creationId xmlns:a16="http://schemas.microsoft.com/office/drawing/2014/main" id="{00000000-0008-0000-0900-00000A6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4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shows reconciliation of costs included and excluded in the Trial Balance.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24:O75"/>
  <sheetViews>
    <sheetView view="pageLayout" zoomScaleNormal="100" workbookViewId="0">
      <selection activeCell="G29" sqref="G29"/>
    </sheetView>
  </sheetViews>
  <sheetFormatPr defaultRowHeight="12.75" x14ac:dyDescent="0.2"/>
  <cols>
    <col min="12" max="12" width="13.140625" customWidth="1"/>
  </cols>
  <sheetData>
    <row r="24" spans="1:15" ht="33" x14ac:dyDescent="0.45">
      <c r="A24" s="451" t="s">
        <v>187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</row>
    <row r="75" spans="12:13" ht="23.25" x14ac:dyDescent="0.35">
      <c r="L75" s="449" t="s">
        <v>184</v>
      </c>
      <c r="M75" s="450" t="s">
        <v>185</v>
      </c>
    </row>
  </sheetData>
  <mergeCells count="1">
    <mergeCell ref="A24:O24"/>
  </mergeCells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34"/>
  </sheetPr>
  <dimension ref="A1:E54"/>
  <sheetViews>
    <sheetView view="pageLayout" zoomScaleNormal="90" workbookViewId="0">
      <selection activeCell="H22" sqref="H22"/>
    </sheetView>
  </sheetViews>
  <sheetFormatPr defaultColWidth="9.140625" defaultRowHeight="11.25" x14ac:dyDescent="0.2"/>
  <cols>
    <col min="1" max="1" width="2.7109375" style="105" customWidth="1"/>
    <col min="2" max="2" width="78" style="105" customWidth="1"/>
    <col min="3" max="3" width="16.5703125" style="58" customWidth="1"/>
    <col min="4" max="16384" width="9.140625" style="58"/>
  </cols>
  <sheetData>
    <row r="1" spans="1:5" s="1" customFormat="1" ht="20.25" x14ac:dyDescent="0.3">
      <c r="A1" s="44" t="str">
        <f>"Allocation Detail Worksheet "</f>
        <v xml:space="preserve">Allocation Detail Worksheet </v>
      </c>
      <c r="B1" s="45"/>
      <c r="C1" s="440" t="str">
        <f>"IESO "&amp;'Revenue to Cost|RR'!H22&amp;" Fee Model"</f>
        <v>IESO 2024 Fee Model</v>
      </c>
      <c r="E1" s="439"/>
    </row>
    <row r="2" spans="1:5" s="1" customFormat="1" x14ac:dyDescent="0.2">
      <c r="A2" s="2"/>
      <c r="B2" s="2"/>
      <c r="C2" s="2"/>
    </row>
    <row r="3" spans="1:5" x14ac:dyDescent="0.2">
      <c r="A3" s="481" t="s">
        <v>92</v>
      </c>
      <c r="B3" s="481"/>
      <c r="C3" s="481"/>
    </row>
    <row r="4" spans="1:5" s="78" customFormat="1" ht="13.5" thickBot="1" x14ac:dyDescent="0.25">
      <c r="A4" s="124"/>
      <c r="B4" s="125"/>
    </row>
    <row r="5" spans="1:5" s="125" customFormat="1" ht="26.25" thickBot="1" x14ac:dyDescent="0.25">
      <c r="A5" s="39"/>
      <c r="B5" s="104" t="s">
        <v>0</v>
      </c>
      <c r="C5" s="104" t="s">
        <v>8</v>
      </c>
    </row>
    <row r="6" spans="1:5" s="78" customFormat="1" ht="12.75" x14ac:dyDescent="0.2">
      <c r="A6" s="39"/>
      <c r="B6" s="413" t="str">
        <f>'Functionalized Accounts'!B9</f>
        <v>CEO Office</v>
      </c>
      <c r="C6" s="128" t="str">
        <f>'Functionalized Accounts'!G9</f>
        <v>O&amp;A</v>
      </c>
    </row>
    <row r="7" spans="1:5" s="78" customFormat="1" ht="12.75" x14ac:dyDescent="0.2">
      <c r="A7" s="39"/>
      <c r="B7" s="127" t="str">
        <f>'Functionalized Accounts'!B10</f>
        <v xml:space="preserve">Markets &amp; Reliability -  VP Office </v>
      </c>
      <c r="C7" s="129" t="str">
        <f>'Functionalized Accounts'!G10</f>
        <v>M&amp;R</v>
      </c>
    </row>
    <row r="8" spans="1:5" s="78" customFormat="1" ht="12.75" x14ac:dyDescent="0.2">
      <c r="A8" s="39"/>
      <c r="B8" s="126" t="str">
        <f>'Functionalized Accounts'!B11</f>
        <v xml:space="preserve">Markets &amp; Reliability -  Power System Assessments </v>
      </c>
      <c r="C8" s="128" t="str">
        <f>'Functionalized Accounts'!G11</f>
        <v>TWh</v>
      </c>
    </row>
    <row r="9" spans="1:5" s="78" customFormat="1" ht="12.75" x14ac:dyDescent="0.2">
      <c r="A9" s="39"/>
      <c r="B9" s="127" t="str">
        <f>'Functionalized Accounts'!B12</f>
        <v xml:space="preserve">Markets &amp; Reliability -  Market Operations </v>
      </c>
      <c r="C9" s="129" t="str">
        <f>'Functionalized Accounts'!G12</f>
        <v>TWh</v>
      </c>
    </row>
    <row r="10" spans="1:5" s="78" customFormat="1" ht="12.75" x14ac:dyDescent="0.2">
      <c r="A10" s="39"/>
      <c r="B10" s="126" t="str">
        <f>'Functionalized Accounts'!B13</f>
        <v xml:space="preserve">Markets &amp; Reliability -  Wholesale Market Development </v>
      </c>
      <c r="C10" s="128" t="str">
        <f>'Functionalized Accounts'!G13</f>
        <v>TWh</v>
      </c>
    </row>
    <row r="11" spans="1:5" s="78" customFormat="1" ht="12.75" x14ac:dyDescent="0.2">
      <c r="A11" s="39"/>
      <c r="B11" s="127" t="str">
        <f>'Functionalized Accounts'!B14</f>
        <v xml:space="preserve">Markets &amp; Reliability -  Reliability Assurance &amp; Operational Assessments </v>
      </c>
      <c r="C11" s="129" t="str">
        <f>'Functionalized Accounts'!G14</f>
        <v>TWh</v>
      </c>
    </row>
    <row r="12" spans="1:5" s="78" customFormat="1" ht="25.5" x14ac:dyDescent="0.2">
      <c r="A12" s="39"/>
      <c r="B12" s="126" t="str">
        <f>'Functionalized Accounts'!B15</f>
        <v xml:space="preserve">Planning, Conservation and Resource Adequacy -  VP Office and Planning Projects &amp; Sustainability </v>
      </c>
      <c r="C12" s="128" t="str">
        <f>'Functionalized Accounts'!G15</f>
        <v>PCRA</v>
      </c>
    </row>
    <row r="13" spans="1:5" s="78" customFormat="1" ht="12.75" x14ac:dyDescent="0.2">
      <c r="A13" s="39"/>
      <c r="B13" s="127" t="str">
        <f>'Functionalized Accounts'!B16</f>
        <v xml:space="preserve">Planning, Conservation and Resource Adequacy -  Resource Planning </v>
      </c>
      <c r="C13" s="129" t="str">
        <f>'Functionalized Accounts'!G16</f>
        <v>DOM</v>
      </c>
    </row>
    <row r="14" spans="1:5" s="78" customFormat="1" ht="12.75" x14ac:dyDescent="0.2">
      <c r="A14" s="39"/>
      <c r="B14" s="126" t="str">
        <f>'Functionalized Accounts'!B17</f>
        <v xml:space="preserve">Planning, Conservation and Resource Adequacy -  Transmission Planning </v>
      </c>
      <c r="C14" s="128" t="str">
        <f>'Functionalized Accounts'!G17</f>
        <v>DOM</v>
      </c>
    </row>
    <row r="15" spans="1:5" s="78" customFormat="1" ht="12.75" x14ac:dyDescent="0.2">
      <c r="A15" s="39"/>
      <c r="B15" s="127" t="str">
        <f>'Functionalized Accounts'!B18</f>
        <v xml:space="preserve">Planning, Conservation and Resource Adequacy -  Resource &amp; System Adequacy </v>
      </c>
      <c r="C15" s="129" t="str">
        <f>'Functionalized Accounts'!G18</f>
        <v>DOM</v>
      </c>
    </row>
    <row r="16" spans="1:5" s="78" customFormat="1" ht="12.75" x14ac:dyDescent="0.2">
      <c r="A16" s="39"/>
      <c r="B16" s="126" t="str">
        <f>'Functionalized Accounts'!B19</f>
        <v xml:space="preserve">Planning, Conservation and Resource Adequacy -  Energy Efficiency </v>
      </c>
      <c r="C16" s="128" t="str">
        <f>'Functionalized Accounts'!G19</f>
        <v>DOM</v>
      </c>
    </row>
    <row r="17" spans="1:3" s="78" customFormat="1" ht="12.75" x14ac:dyDescent="0.2">
      <c r="A17" s="39"/>
      <c r="B17" s="127" t="str">
        <f>'Functionalized Accounts'!B20</f>
        <v xml:space="preserve">Corporate Relations, Stakeholder Engagement and Innovation -  VP Office </v>
      </c>
      <c r="C17" s="129" t="str">
        <f>'Functionalized Accounts'!G20</f>
        <v>CRSEI</v>
      </c>
    </row>
    <row r="18" spans="1:3" s="78" customFormat="1" ht="25.5" x14ac:dyDescent="0.2">
      <c r="A18" s="39"/>
      <c r="B18" s="126" t="str">
        <f>'Functionalized Accounts'!B21</f>
        <v xml:space="preserve">Corporate Relations, Stakeholder Engagement and Innovation -  Government Affairs </v>
      </c>
      <c r="C18" s="128" t="str">
        <f>'Functionalized Accounts'!G21</f>
        <v>DOM</v>
      </c>
    </row>
    <row r="19" spans="1:3" s="78" customFormat="1" ht="25.5" x14ac:dyDescent="0.2">
      <c r="A19" s="39"/>
      <c r="B19" s="127" t="str">
        <f>'Functionalized Accounts'!B22</f>
        <v xml:space="preserve">Corporate Relations, Stakeholder Engagement and Innovation -  Corporate Communications </v>
      </c>
      <c r="C19" s="129" t="str">
        <f>'Functionalized Accounts'!G22</f>
        <v>DOM</v>
      </c>
    </row>
    <row r="20" spans="1:3" s="78" customFormat="1" ht="25.5" x14ac:dyDescent="0.2">
      <c r="A20" s="39"/>
      <c r="B20" s="126" t="str">
        <f>'Functionalized Accounts'!B23</f>
        <v xml:space="preserve">Corporate Relations, Stakeholder Engagement and Innovation -  Stakeholder and Community Engagement </v>
      </c>
      <c r="C20" s="128" t="str">
        <f>'Functionalized Accounts'!G23</f>
        <v>DOM</v>
      </c>
    </row>
    <row r="21" spans="1:3" s="78" customFormat="1" ht="25.5" x14ac:dyDescent="0.2">
      <c r="A21" s="39"/>
      <c r="B21" s="127" t="str">
        <f>'Functionalized Accounts'!B24</f>
        <v xml:space="preserve">Corporate Relations, Stakeholder Engagement and Innovation -  Innovation, Research &amp; Development </v>
      </c>
      <c r="C21" s="129" t="str">
        <f>'Functionalized Accounts'!G24</f>
        <v>DOM</v>
      </c>
    </row>
    <row r="22" spans="1:3" s="78" customFormat="1" ht="12.75" x14ac:dyDescent="0.2">
      <c r="A22" s="39"/>
      <c r="B22" s="126" t="str">
        <f>'Functionalized Accounts'!B25</f>
        <v>Information and Technology Services - VP Office</v>
      </c>
      <c r="C22" s="128" t="str">
        <f>'Functionalized Accounts'!G25</f>
        <v>ITS</v>
      </c>
    </row>
    <row r="23" spans="1:3" s="78" customFormat="1" ht="25.5" x14ac:dyDescent="0.2">
      <c r="A23" s="39"/>
      <c r="B23" s="127" t="str">
        <f>'Functionalized Accounts'!B26</f>
        <v>Information and Technology Services - CIO Office (Organizational Governance Support)</v>
      </c>
      <c r="C23" s="129" t="str">
        <f>'Functionalized Accounts'!G26</f>
        <v>O&amp;A</v>
      </c>
    </row>
    <row r="24" spans="1:3" s="78" customFormat="1" ht="12.75" x14ac:dyDescent="0.2">
      <c r="A24" s="39"/>
      <c r="B24" s="126" t="str">
        <f>'Functionalized Accounts'!B27</f>
        <v>Information and Technology Services - Information Security</v>
      </c>
      <c r="C24" s="128" t="str">
        <f>'Functionalized Accounts'!G27</f>
        <v>O&amp;A</v>
      </c>
    </row>
    <row r="25" spans="1:3" s="78" customFormat="1" ht="12.75" x14ac:dyDescent="0.2">
      <c r="A25" s="39"/>
      <c r="B25" s="127" t="str">
        <f>'Functionalized Accounts'!B28</f>
        <v>Information and Technology Services - Business Services &amp; Solution Delivery</v>
      </c>
      <c r="C25" s="129" t="str">
        <f>'Functionalized Accounts'!G28</f>
        <v>O&amp;A</v>
      </c>
    </row>
    <row r="26" spans="1:3" s="78" customFormat="1" ht="25.5" x14ac:dyDescent="0.2">
      <c r="A26" s="39"/>
      <c r="B26" s="126" t="str">
        <f>'Functionalized Accounts'!B29</f>
        <v>Information and Technology Services - IT Infrastructure &amp; Operations (Technology Services)</v>
      </c>
      <c r="C26" s="128" t="str">
        <f>'Functionalized Accounts'!G29</f>
        <v>O&amp;A</v>
      </c>
    </row>
    <row r="27" spans="1:3" s="78" customFormat="1" ht="12.75" x14ac:dyDescent="0.2">
      <c r="A27" s="39"/>
      <c r="B27" s="127" t="str">
        <f>'Functionalized Accounts'!B30</f>
        <v xml:space="preserve">Legal Resources and Corporate Governance -  VP Office </v>
      </c>
      <c r="C27" s="129" t="str">
        <f>'Functionalized Accounts'!G30</f>
        <v>LRCG</v>
      </c>
    </row>
    <row r="28" spans="1:3" s="78" customFormat="1" ht="12.75" x14ac:dyDescent="0.2">
      <c r="A28" s="39"/>
      <c r="B28" s="126" t="str">
        <f>'Functionalized Accounts'!B31</f>
        <v xml:space="preserve">Legal Resources and Corporate Governance -  General Counsel </v>
      </c>
      <c r="C28" s="128" t="str">
        <f>'Functionalized Accounts'!G31</f>
        <v>TWh</v>
      </c>
    </row>
    <row r="29" spans="1:3" s="78" customFormat="1" ht="25.5" x14ac:dyDescent="0.2">
      <c r="A29" s="39"/>
      <c r="B29" s="127" t="str">
        <f>'Functionalized Accounts'!B32</f>
        <v xml:space="preserve">Legal Resources and Corporate Governance -  Market Rules and Regulatory Affairs </v>
      </c>
      <c r="C29" s="129" t="str">
        <f>'Functionalized Accounts'!G32</f>
        <v>TWh</v>
      </c>
    </row>
    <row r="30" spans="1:3" s="78" customFormat="1" ht="12.75" x14ac:dyDescent="0.2">
      <c r="A30" s="39"/>
      <c r="B30" s="126" t="str">
        <f>'Functionalized Accounts'!B33</f>
        <v xml:space="preserve">Legal Resources and Corporate Governance -  OEB Assessment Fees </v>
      </c>
      <c r="C30" s="128" t="str">
        <f>'Functionalized Accounts'!G33</f>
        <v>TWh</v>
      </c>
    </row>
    <row r="31" spans="1:3" s="78" customFormat="1" ht="12.75" x14ac:dyDescent="0.2">
      <c r="A31" s="39"/>
      <c r="B31" s="127" t="str">
        <f>'Functionalized Accounts'!B34</f>
        <v xml:space="preserve">Legal Resources and Corporate Governance -  Board </v>
      </c>
      <c r="C31" s="129" t="str">
        <f>'Functionalized Accounts'!G34</f>
        <v>TWh</v>
      </c>
    </row>
    <row r="32" spans="1:3" s="78" customFormat="1" ht="12.75" x14ac:dyDescent="0.2">
      <c r="A32" s="39"/>
      <c r="B32" s="126" t="str">
        <f>'Functionalized Accounts'!B35</f>
        <v xml:space="preserve">Legal Resources and Corporate Governance -  NERC and NPCC Membership </v>
      </c>
      <c r="C32" s="128" t="str">
        <f>'Functionalized Accounts'!G35</f>
        <v>HALF</v>
      </c>
    </row>
    <row r="33" spans="1:3" s="78" customFormat="1" ht="12.75" x14ac:dyDescent="0.2">
      <c r="A33" s="39"/>
      <c r="B33" s="127" t="str">
        <f>'Functionalized Accounts'!B36</f>
        <v xml:space="preserve">Legal Resources and Corporate Governance -  Contract Management </v>
      </c>
      <c r="C33" s="129" t="str">
        <f>'Functionalized Accounts'!G36</f>
        <v>DOM</v>
      </c>
    </row>
    <row r="34" spans="1:3" s="78" customFormat="1" ht="25.5" x14ac:dyDescent="0.2">
      <c r="A34" s="39"/>
      <c r="B34" s="126" t="str">
        <f>'Functionalized Accounts'!B37</f>
        <v xml:space="preserve">Market Assessment and Compliance Division -  Market Assessment and Compliance Division </v>
      </c>
      <c r="C34" s="128" t="str">
        <f>'Functionalized Accounts'!G37</f>
        <v>TWh</v>
      </c>
    </row>
    <row r="35" spans="1:3" s="78" customFormat="1" ht="12.75" x14ac:dyDescent="0.2">
      <c r="A35" s="39"/>
      <c r="B35" s="127" t="str">
        <f>'Functionalized Accounts'!B38</f>
        <v xml:space="preserve">Market Assessment and Compliance Division - Regulatory Fees </v>
      </c>
      <c r="C35" s="129" t="str">
        <f>'Functionalized Accounts'!G38</f>
        <v>TWh</v>
      </c>
    </row>
    <row r="36" spans="1:3" s="78" customFormat="1" ht="12.75" x14ac:dyDescent="0.2">
      <c r="A36" s="39"/>
      <c r="B36" s="126" t="str">
        <f>'Functionalized Accounts'!B39</f>
        <v>Corporate Services - VP Office</v>
      </c>
      <c r="C36" s="128" t="str">
        <f>'Functionalized Accounts'!G39</f>
        <v>CS</v>
      </c>
    </row>
    <row r="37" spans="1:3" s="78" customFormat="1" ht="12.75" x14ac:dyDescent="0.2">
      <c r="A37" s="39"/>
      <c r="B37" s="127" t="str">
        <f>'Functionalized Accounts'!B40</f>
        <v>Corporate Services - Corporate Finance</v>
      </c>
      <c r="C37" s="129" t="str">
        <f>'Functionalized Accounts'!G40</f>
        <v>O&amp;A</v>
      </c>
    </row>
    <row r="38" spans="1:3" s="78" customFormat="1" ht="12.75" x14ac:dyDescent="0.2">
      <c r="A38" s="39"/>
      <c r="B38" s="126" t="str">
        <f>'Functionalized Accounts'!B41</f>
        <v>Corporate Services - Procurement</v>
      </c>
      <c r="C38" s="128" t="str">
        <f>'Functionalized Accounts'!G41</f>
        <v>O&amp;A</v>
      </c>
    </row>
    <row r="39" spans="1:3" s="78" customFormat="1" ht="12.75" x14ac:dyDescent="0.2">
      <c r="A39" s="39"/>
      <c r="B39" s="127" t="str">
        <f>'Functionalized Accounts'!B42</f>
        <v>Corporate Services - Risk, Performance &amp; Reliance and Internal Audit</v>
      </c>
      <c r="C39" s="129" t="str">
        <f>'Functionalized Accounts'!G42</f>
        <v>O&amp;A</v>
      </c>
    </row>
    <row r="40" spans="1:3" s="78" customFormat="1" ht="12.75" x14ac:dyDescent="0.2">
      <c r="A40" s="39"/>
      <c r="B40" s="126" t="str">
        <f>'Functionalized Accounts'!B43</f>
        <v>Corporate Services - Settlements</v>
      </c>
      <c r="C40" s="128" t="str">
        <f>'Functionalized Accounts'!G43</f>
        <v>TWh</v>
      </c>
    </row>
    <row r="41" spans="1:3" s="78" customFormat="1" ht="12.75" x14ac:dyDescent="0.2">
      <c r="A41" s="39"/>
      <c r="B41" s="127" t="str">
        <f>'Functionalized Accounts'!B44</f>
        <v>Corporate Services - Facilities</v>
      </c>
      <c r="C41" s="129" t="str">
        <f>'Functionalized Accounts'!G44</f>
        <v>O&amp;A</v>
      </c>
    </row>
    <row r="42" spans="1:3" s="78" customFormat="1" ht="12.75" x14ac:dyDescent="0.2">
      <c r="A42" s="39"/>
      <c r="B42" s="126" t="str">
        <f>'Functionalized Accounts'!B45</f>
        <v>Corporate Services - Enterprise Change</v>
      </c>
      <c r="C42" s="128" t="str">
        <f>'Functionalized Accounts'!G45</f>
        <v>O&amp;A</v>
      </c>
    </row>
    <row r="43" spans="1:3" s="78" customFormat="1" ht="12.75" x14ac:dyDescent="0.2">
      <c r="A43" s="39"/>
      <c r="B43" s="127" t="str">
        <f>'Functionalized Accounts'!B46</f>
        <v>Human Resources</v>
      </c>
      <c r="C43" s="129" t="str">
        <f>'Functionalized Accounts'!G46</f>
        <v>O&amp;A</v>
      </c>
    </row>
    <row r="44" spans="1:3" s="78" customFormat="1" ht="12.75" x14ac:dyDescent="0.2">
      <c r="A44" s="39"/>
      <c r="B44" s="126" t="str">
        <f>'Functionalized Accounts'!B47</f>
        <v>Corporate Adjustment - General</v>
      </c>
      <c r="C44" s="128" t="str">
        <f>'Functionalized Accounts'!G47</f>
        <v>O&amp;A</v>
      </c>
    </row>
    <row r="45" spans="1:3" s="78" customFormat="1" ht="12.75" x14ac:dyDescent="0.2">
      <c r="A45" s="39"/>
      <c r="B45" s="127" t="str">
        <f>'Functionalized Accounts'!B48</f>
        <v>Market Renewal</v>
      </c>
      <c r="C45" s="129" t="str">
        <f>'Functionalized Accounts'!G48</f>
        <v>TWh</v>
      </c>
    </row>
    <row r="46" spans="1:3" s="78" customFormat="1" ht="12.75" x14ac:dyDescent="0.2">
      <c r="A46" s="39"/>
      <c r="B46" s="126" t="str">
        <f>'Functionalized Accounts'!B49</f>
        <v>Interest, Amortization and Registration Fees - Amortization</v>
      </c>
      <c r="C46" s="128" t="str">
        <f>'Functionalized Accounts'!G49</f>
        <v>TWh</v>
      </c>
    </row>
    <row r="47" spans="1:3" s="78" customFormat="1" ht="12.75" x14ac:dyDescent="0.2">
      <c r="A47" s="39"/>
      <c r="B47" s="127" t="str">
        <f>'Functionalized Accounts'!B50</f>
        <v>Interest, Amortization and Registration Fees - Interest</v>
      </c>
      <c r="C47" s="129" t="str">
        <f>'Functionalized Accounts'!G50</f>
        <v>TWh</v>
      </c>
    </row>
    <row r="48" spans="1:3" s="78" customFormat="1" ht="12.75" x14ac:dyDescent="0.2">
      <c r="A48" s="39"/>
      <c r="B48" s="126" t="str">
        <f>'Functionalized Accounts'!B51</f>
        <v>Interest, Amortization and Registration Fees - Registration Fees</v>
      </c>
      <c r="C48" s="128" t="str">
        <f>'Functionalized Accounts'!G51</f>
        <v>DOM</v>
      </c>
    </row>
    <row r="49" spans="1:3" s="78" customFormat="1" ht="12.75" x14ac:dyDescent="0.2">
      <c r="A49" s="39"/>
      <c r="B49" s="127" t="str">
        <f>'Functionalized Accounts'!B57</f>
        <v>Assets - Assets</v>
      </c>
      <c r="C49" s="129" t="s">
        <v>68</v>
      </c>
    </row>
    <row r="50" spans="1:3" s="78" customFormat="1" ht="12.75" x14ac:dyDescent="0.2">
      <c r="A50" s="39"/>
      <c r="B50" s="126" t="str">
        <f>'Functionalized Accounts'!B58</f>
        <v>Assets - Market systems &amp; applications</v>
      </c>
      <c r="C50" s="128" t="str">
        <f t="shared" ref="C50:C52" si="0">C49</f>
        <v>TWh</v>
      </c>
    </row>
    <row r="51" spans="1:3" s="78" customFormat="1" ht="12.75" x14ac:dyDescent="0.2">
      <c r="A51" s="39"/>
      <c r="B51" s="127" t="str">
        <f>'Functionalized Accounts'!B59</f>
        <v>Assets - Infrastructure &amp; other assets</v>
      </c>
      <c r="C51" s="129" t="str">
        <f t="shared" si="0"/>
        <v>TWh</v>
      </c>
    </row>
    <row r="52" spans="1:3" s="78" customFormat="1" ht="12.75" x14ac:dyDescent="0.2">
      <c r="A52" s="39"/>
      <c r="B52" s="126" t="str">
        <f>'Functionalized Accounts'!B60</f>
        <v>Assets - Assets Under Construction</v>
      </c>
      <c r="C52" s="128" t="str">
        <f t="shared" si="0"/>
        <v>TWh</v>
      </c>
    </row>
    <row r="53" spans="1:3" s="78" customFormat="1" ht="13.5" thickBot="1" x14ac:dyDescent="0.25">
      <c r="A53" s="39"/>
      <c r="B53" s="401" t="str">
        <f>'Functionalized Accounts'!B61</f>
        <v>Accumulated Amortization</v>
      </c>
      <c r="C53" s="402" t="s">
        <v>79</v>
      </c>
    </row>
    <row r="54" spans="1:3" s="78" customFormat="1" ht="12.75" x14ac:dyDescent="0.2">
      <c r="A54" s="39"/>
      <c r="B54" s="39"/>
      <c r="C54" s="46"/>
    </row>
  </sheetData>
  <mergeCells count="1">
    <mergeCell ref="A3:C3"/>
  </mergeCells>
  <phoneticPr fontId="0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34"/>
  </sheetPr>
  <dimension ref="A1:E58"/>
  <sheetViews>
    <sheetView view="pageLayout" topLeftCell="G1" zoomScaleNormal="100" workbookViewId="0">
      <selection activeCell="H22" sqref="H22"/>
    </sheetView>
  </sheetViews>
  <sheetFormatPr defaultColWidth="9.140625" defaultRowHeight="11.25" x14ac:dyDescent="0.2"/>
  <cols>
    <col min="1" max="1" width="2.7109375" style="13" customWidth="1"/>
    <col min="2" max="2" width="83" style="54" bestFit="1" customWidth="1"/>
    <col min="3" max="3" width="15.42578125" style="12" bestFit="1" customWidth="1"/>
    <col min="4" max="4" width="15.42578125" style="6" bestFit="1" customWidth="1"/>
    <col min="5" max="5" width="13.5703125" style="6" customWidth="1"/>
    <col min="6" max="16384" width="9.140625" style="6"/>
  </cols>
  <sheetData>
    <row r="1" spans="1:5" s="1" customFormat="1" ht="21" customHeight="1" x14ac:dyDescent="0.3">
      <c r="A1" s="44" t="str">
        <f>"Reconciliation Worksheet"</f>
        <v>Reconciliation Worksheet</v>
      </c>
      <c r="B1" s="45"/>
      <c r="C1" s="439" t="str">
        <f>"IESO "&amp;'Revenue to Cost|RR'!H22&amp;" Fee Model"</f>
        <v>IESO 2024 Fee Model</v>
      </c>
    </row>
    <row r="2" spans="1:5" s="1" customFormat="1" ht="6" customHeight="1" x14ac:dyDescent="0.2">
      <c r="A2" s="2"/>
      <c r="B2" s="2"/>
      <c r="C2" s="2"/>
      <c r="D2" s="2"/>
      <c r="E2" s="2"/>
    </row>
    <row r="3" spans="1:5" x14ac:dyDescent="0.2">
      <c r="A3" s="93"/>
      <c r="B3" s="105"/>
    </row>
    <row r="4" spans="1:5" x14ac:dyDescent="0.2">
      <c r="B4" s="105"/>
    </row>
    <row r="5" spans="1:5" x14ac:dyDescent="0.2">
      <c r="A5" s="57"/>
      <c r="B5" s="105"/>
    </row>
    <row r="6" spans="1:5" x14ac:dyDescent="0.2">
      <c r="B6" s="105"/>
    </row>
    <row r="7" spans="1:5" ht="12" thickBot="1" x14ac:dyDescent="0.25">
      <c r="A7" s="75"/>
      <c r="B7" s="105"/>
      <c r="C7" s="130"/>
    </row>
    <row r="8" spans="1:5" s="131" customFormat="1" ht="34.5" thickBot="1" x14ac:dyDescent="0.25">
      <c r="A8" s="75"/>
      <c r="B8" s="132" t="s">
        <v>0</v>
      </c>
      <c r="C8" s="106" t="s">
        <v>1</v>
      </c>
      <c r="D8" s="133" t="s">
        <v>93</v>
      </c>
      <c r="E8" s="133" t="s">
        <v>5</v>
      </c>
    </row>
    <row r="9" spans="1:5" ht="12.75" x14ac:dyDescent="0.2">
      <c r="A9" s="75"/>
      <c r="B9" s="185" t="str">
        <f>'Functionalized Accounts'!B9</f>
        <v>CEO Office</v>
      </c>
      <c r="C9" s="107">
        <f>'Functionalized Accounts'!F9</f>
        <v>1500000</v>
      </c>
      <c r="D9" s="135">
        <f>+SUM('Summary by Class &amp; Accounts'!E9:'Summary by Class &amp; Accounts'!F9)</f>
        <v>1500000</v>
      </c>
      <c r="E9" s="153">
        <f>+C9-D9</f>
        <v>0</v>
      </c>
    </row>
    <row r="10" spans="1:5" ht="12.75" x14ac:dyDescent="0.2">
      <c r="A10" s="75"/>
      <c r="B10" s="186" t="str">
        <f>'Functionalized Accounts'!B10</f>
        <v xml:space="preserve">Markets &amp; Reliability -  VP Office </v>
      </c>
      <c r="C10" s="107">
        <f>'Functionalized Accounts'!F10</f>
        <v>1100000</v>
      </c>
      <c r="D10" s="135">
        <f>+SUM('Summary by Class &amp; Accounts'!E10:'Summary by Class &amp; Accounts'!F10)</f>
        <v>1100000.0000000002</v>
      </c>
      <c r="E10" s="153">
        <f t="shared" ref="E10:E14" si="0">+C10-D10</f>
        <v>0</v>
      </c>
    </row>
    <row r="11" spans="1:5" ht="12.75" x14ac:dyDescent="0.2">
      <c r="A11" s="75"/>
      <c r="B11" s="186" t="str">
        <f>'Functionalized Accounts'!B11</f>
        <v xml:space="preserve">Markets &amp; Reliability -  Power System Assessments </v>
      </c>
      <c r="C11" s="107">
        <f>'Functionalized Accounts'!F11</f>
        <v>11600000</v>
      </c>
      <c r="D11" s="135">
        <f>+SUM('Summary by Class &amp; Accounts'!E11:'Summary by Class &amp; Accounts'!F11)</f>
        <v>11600000</v>
      </c>
      <c r="E11" s="153">
        <f t="shared" si="0"/>
        <v>0</v>
      </c>
    </row>
    <row r="12" spans="1:5" ht="12.75" x14ac:dyDescent="0.2">
      <c r="A12" s="75"/>
      <c r="B12" s="186" t="str">
        <f>'Functionalized Accounts'!B12</f>
        <v xml:space="preserve">Markets &amp; Reliability -  Market Operations </v>
      </c>
      <c r="C12" s="107">
        <f>'Functionalized Accounts'!F12</f>
        <v>17200000</v>
      </c>
      <c r="D12" s="135">
        <f>+SUM('Summary by Class &amp; Accounts'!E12:'Summary by Class &amp; Accounts'!F12)</f>
        <v>17200000</v>
      </c>
      <c r="E12" s="153">
        <f t="shared" si="0"/>
        <v>0</v>
      </c>
    </row>
    <row r="13" spans="1:5" ht="12.75" x14ac:dyDescent="0.2">
      <c r="A13" s="75"/>
      <c r="B13" s="186" t="str">
        <f>'Functionalized Accounts'!B13</f>
        <v xml:space="preserve">Markets &amp; Reliability -  Wholesale Market Development </v>
      </c>
      <c r="C13" s="107">
        <f>'Functionalized Accounts'!F13</f>
        <v>4600000.0000000009</v>
      </c>
      <c r="D13" s="135">
        <f>+SUM('Summary by Class &amp; Accounts'!E13:'Summary by Class &amp; Accounts'!F13)</f>
        <v>4600000.0000000009</v>
      </c>
      <c r="E13" s="153">
        <f t="shared" si="0"/>
        <v>0</v>
      </c>
    </row>
    <row r="14" spans="1:5" ht="12.75" x14ac:dyDescent="0.2">
      <c r="A14" s="75"/>
      <c r="B14" s="186" t="str">
        <f>'Functionalized Accounts'!B14</f>
        <v xml:space="preserve">Markets &amp; Reliability -  Reliability Assurance &amp; Operational Assessments </v>
      </c>
      <c r="C14" s="107">
        <f>'Functionalized Accounts'!F14</f>
        <v>5800000</v>
      </c>
      <c r="D14" s="135">
        <f>+SUM('Summary by Class &amp; Accounts'!E14:'Summary by Class &amp; Accounts'!F14)</f>
        <v>5800000</v>
      </c>
      <c r="E14" s="153">
        <f t="shared" si="0"/>
        <v>0</v>
      </c>
    </row>
    <row r="15" spans="1:5" ht="12.75" x14ac:dyDescent="0.2">
      <c r="A15" s="75"/>
      <c r="B15" s="186" t="str">
        <f>'Functionalized Accounts'!B15</f>
        <v xml:space="preserve">Planning, Conservation and Resource Adequacy -  VP Office and Planning Projects &amp; Sustainability </v>
      </c>
      <c r="C15" s="107">
        <f>'Functionalized Accounts'!F15</f>
        <v>1100000</v>
      </c>
      <c r="D15" s="135">
        <f>+SUM('Summary by Class &amp; Accounts'!E15:'Summary by Class &amp; Accounts'!F15)</f>
        <v>1100000</v>
      </c>
      <c r="E15" s="153">
        <f t="shared" ref="E15:E37" si="1">+C15-D15</f>
        <v>0</v>
      </c>
    </row>
    <row r="16" spans="1:5" ht="12.75" x14ac:dyDescent="0.2">
      <c r="A16" s="75"/>
      <c r="B16" s="186" t="str">
        <f>'Functionalized Accounts'!B16</f>
        <v xml:space="preserve">Planning, Conservation and Resource Adequacy -  Resource Planning </v>
      </c>
      <c r="C16" s="107">
        <f>'Functionalized Accounts'!F16</f>
        <v>6400000</v>
      </c>
      <c r="D16" s="135">
        <f>+SUM('Summary by Class &amp; Accounts'!E16:'Summary by Class &amp; Accounts'!F16)</f>
        <v>6400000</v>
      </c>
      <c r="E16" s="153">
        <f t="shared" si="1"/>
        <v>0</v>
      </c>
    </row>
    <row r="17" spans="1:5" ht="12.75" x14ac:dyDescent="0.2">
      <c r="A17" s="75"/>
      <c r="B17" s="186" t="str">
        <f>'Functionalized Accounts'!B17</f>
        <v xml:space="preserve">Planning, Conservation and Resource Adequacy -  Transmission Planning </v>
      </c>
      <c r="C17" s="107">
        <f>'Functionalized Accounts'!F17</f>
        <v>6900000</v>
      </c>
      <c r="D17" s="135">
        <f>+SUM('Summary by Class &amp; Accounts'!E17:'Summary by Class &amp; Accounts'!F17)</f>
        <v>6900000</v>
      </c>
      <c r="E17" s="153">
        <f t="shared" si="1"/>
        <v>0</v>
      </c>
    </row>
    <row r="18" spans="1:5" ht="12.75" x14ac:dyDescent="0.2">
      <c r="A18" s="75"/>
      <c r="B18" s="186" t="str">
        <f>'Functionalized Accounts'!B18</f>
        <v xml:space="preserve">Planning, Conservation and Resource Adequacy -  Resource &amp; System Adequacy </v>
      </c>
      <c r="C18" s="107">
        <f>'Functionalized Accounts'!F18</f>
        <v>7100000</v>
      </c>
      <c r="D18" s="135">
        <f>+SUM('Summary by Class &amp; Accounts'!E18:'Summary by Class &amp; Accounts'!F18)</f>
        <v>7100000</v>
      </c>
      <c r="E18" s="153">
        <f t="shared" si="1"/>
        <v>0</v>
      </c>
    </row>
    <row r="19" spans="1:5" ht="12.75" x14ac:dyDescent="0.2">
      <c r="A19" s="75"/>
      <c r="B19" s="186" t="str">
        <f>'Functionalized Accounts'!B19</f>
        <v xml:space="preserve">Planning, Conservation and Resource Adequacy -  Energy Efficiency </v>
      </c>
      <c r="C19" s="107">
        <f>'Functionalized Accounts'!F19</f>
        <v>6730000</v>
      </c>
      <c r="D19" s="135">
        <f>+SUM('Summary by Class &amp; Accounts'!E19:'Summary by Class &amp; Accounts'!F19)</f>
        <v>6730000</v>
      </c>
      <c r="E19" s="153">
        <f t="shared" si="1"/>
        <v>0</v>
      </c>
    </row>
    <row r="20" spans="1:5" ht="12.75" x14ac:dyDescent="0.2">
      <c r="A20" s="75"/>
      <c r="B20" s="186" t="str">
        <f>'Functionalized Accounts'!B20</f>
        <v xml:space="preserve">Corporate Relations, Stakeholder Engagement and Innovation -  VP Office </v>
      </c>
      <c r="C20" s="107">
        <f>'Functionalized Accounts'!F20</f>
        <v>700000</v>
      </c>
      <c r="D20" s="135">
        <f>+SUM('Summary by Class &amp; Accounts'!E20:'Summary by Class &amp; Accounts'!F20)</f>
        <v>700000</v>
      </c>
      <c r="E20" s="153">
        <f t="shared" si="1"/>
        <v>0</v>
      </c>
    </row>
    <row r="21" spans="1:5" ht="12.75" x14ac:dyDescent="0.2">
      <c r="A21" s="75"/>
      <c r="B21" s="186" t="str">
        <f>'Functionalized Accounts'!B21</f>
        <v xml:space="preserve">Corporate Relations, Stakeholder Engagement and Innovation -  Government Affairs </v>
      </c>
      <c r="C21" s="107">
        <f>'Functionalized Accounts'!F21</f>
        <v>650000</v>
      </c>
      <c r="D21" s="135">
        <f>+SUM('Summary by Class &amp; Accounts'!E21:'Summary by Class &amp; Accounts'!F21)</f>
        <v>650000</v>
      </c>
      <c r="E21" s="153">
        <f t="shared" si="1"/>
        <v>0</v>
      </c>
    </row>
    <row r="22" spans="1:5" ht="12.75" x14ac:dyDescent="0.2">
      <c r="A22" s="75"/>
      <c r="B22" s="186" t="str">
        <f>'Functionalized Accounts'!B22</f>
        <v xml:space="preserve">Corporate Relations, Stakeholder Engagement and Innovation -  Corporate Communications </v>
      </c>
      <c r="C22" s="107">
        <f>'Functionalized Accounts'!F22</f>
        <v>4150000.0000000005</v>
      </c>
      <c r="D22" s="135">
        <f>+SUM('Summary by Class &amp; Accounts'!E22:'Summary by Class &amp; Accounts'!F22)</f>
        <v>4150000.0000000005</v>
      </c>
      <c r="E22" s="153">
        <f t="shared" si="1"/>
        <v>0</v>
      </c>
    </row>
    <row r="23" spans="1:5" ht="12.75" x14ac:dyDescent="0.2">
      <c r="A23" s="75"/>
      <c r="B23" s="186" t="str">
        <f>'Functionalized Accounts'!B23</f>
        <v xml:space="preserve">Corporate Relations, Stakeholder Engagement and Innovation -  Stakeholder and Community Engagement </v>
      </c>
      <c r="C23" s="107">
        <f>'Functionalized Accounts'!F23</f>
        <v>6439999.9999999991</v>
      </c>
      <c r="D23" s="135">
        <f>+SUM('Summary by Class &amp; Accounts'!E23:'Summary by Class &amp; Accounts'!F23)</f>
        <v>6439999.9999999991</v>
      </c>
      <c r="E23" s="153">
        <f t="shared" si="1"/>
        <v>0</v>
      </c>
    </row>
    <row r="24" spans="1:5" ht="12.75" x14ac:dyDescent="0.2">
      <c r="A24" s="75"/>
      <c r="B24" s="186" t="str">
        <f>'Functionalized Accounts'!B24</f>
        <v xml:space="preserve">Corporate Relations, Stakeholder Engagement and Innovation -  Innovation, Research &amp; Development </v>
      </c>
      <c r="C24" s="107">
        <f>'Functionalized Accounts'!F24</f>
        <v>4720000</v>
      </c>
      <c r="D24" s="135">
        <f>+SUM('Summary by Class &amp; Accounts'!E24:'Summary by Class &amp; Accounts'!F24)</f>
        <v>4720000</v>
      </c>
      <c r="E24" s="153">
        <f t="shared" si="1"/>
        <v>0</v>
      </c>
    </row>
    <row r="25" spans="1:5" ht="12.75" x14ac:dyDescent="0.2">
      <c r="A25" s="75"/>
      <c r="B25" s="186" t="str">
        <f>'Functionalized Accounts'!B25</f>
        <v>Information and Technology Services - VP Office</v>
      </c>
      <c r="C25" s="107">
        <f>'Functionalized Accounts'!F25</f>
        <v>900000</v>
      </c>
      <c r="D25" s="135">
        <f>+SUM('Summary by Class &amp; Accounts'!E25:'Summary by Class &amp; Accounts'!F25)</f>
        <v>900000</v>
      </c>
      <c r="E25" s="153">
        <f t="shared" si="1"/>
        <v>0</v>
      </c>
    </row>
    <row r="26" spans="1:5" ht="12.75" x14ac:dyDescent="0.2">
      <c r="A26" s="75"/>
      <c r="B26" s="186" t="str">
        <f>'Functionalized Accounts'!B26</f>
        <v>Information and Technology Services - CIO Office (Organizational Governance Support)</v>
      </c>
      <c r="C26" s="107">
        <f>'Functionalized Accounts'!F26</f>
        <v>2200000</v>
      </c>
      <c r="D26" s="135">
        <f>+SUM('Summary by Class &amp; Accounts'!E26:'Summary by Class &amp; Accounts'!F26)</f>
        <v>2200000</v>
      </c>
      <c r="E26" s="153">
        <f t="shared" si="1"/>
        <v>0</v>
      </c>
    </row>
    <row r="27" spans="1:5" ht="12.75" x14ac:dyDescent="0.2">
      <c r="A27" s="75"/>
      <c r="B27" s="186" t="str">
        <f>'Functionalized Accounts'!B27</f>
        <v>Information and Technology Services - Information Security</v>
      </c>
      <c r="C27" s="107">
        <f>'Functionalized Accounts'!F27</f>
        <v>5600000</v>
      </c>
      <c r="D27" s="135">
        <f>+SUM('Summary by Class &amp; Accounts'!E27:'Summary by Class &amp; Accounts'!F27)</f>
        <v>5600000.0000000009</v>
      </c>
      <c r="E27" s="153">
        <f t="shared" si="1"/>
        <v>0</v>
      </c>
    </row>
    <row r="28" spans="1:5" ht="12.75" x14ac:dyDescent="0.2">
      <c r="A28" s="75"/>
      <c r="B28" s="186" t="str">
        <f>'Functionalized Accounts'!B28</f>
        <v>Information and Technology Services - Business Services &amp; Solution Delivery</v>
      </c>
      <c r="C28" s="107">
        <f>'Functionalized Accounts'!F28</f>
        <v>19100000</v>
      </c>
      <c r="D28" s="135">
        <f>+SUM('Summary by Class &amp; Accounts'!E28:'Summary by Class &amp; Accounts'!F28)</f>
        <v>19100000.000000004</v>
      </c>
      <c r="E28" s="153">
        <f t="shared" si="1"/>
        <v>0</v>
      </c>
    </row>
    <row r="29" spans="1:5" ht="12.75" x14ac:dyDescent="0.2">
      <c r="A29" s="75"/>
      <c r="B29" s="186" t="str">
        <f>'Functionalized Accounts'!B29</f>
        <v>Information and Technology Services - IT Infrastructure &amp; Operations (Technology Services)</v>
      </c>
      <c r="C29" s="107">
        <f>'Functionalized Accounts'!F29</f>
        <v>21600000</v>
      </c>
      <c r="D29" s="135">
        <f>+SUM('Summary by Class &amp; Accounts'!E29:'Summary by Class &amp; Accounts'!F29)</f>
        <v>21600000.000000004</v>
      </c>
      <c r="E29" s="153">
        <f t="shared" si="1"/>
        <v>0</v>
      </c>
    </row>
    <row r="30" spans="1:5" ht="12.75" x14ac:dyDescent="0.2">
      <c r="A30" s="75"/>
      <c r="B30" s="186" t="str">
        <f>'Functionalized Accounts'!B30</f>
        <v xml:space="preserve">Legal Resources and Corporate Governance -  VP Office </v>
      </c>
      <c r="C30" s="107">
        <f>'Functionalized Accounts'!F30</f>
        <v>1500000.0000000002</v>
      </c>
      <c r="D30" s="135">
        <f>+SUM('Summary by Class &amp; Accounts'!E30:'Summary by Class &amp; Accounts'!F30)</f>
        <v>1500000.0000000005</v>
      </c>
      <c r="E30" s="153">
        <f t="shared" si="1"/>
        <v>0</v>
      </c>
    </row>
    <row r="31" spans="1:5" ht="12.75" x14ac:dyDescent="0.2">
      <c r="A31" s="75"/>
      <c r="B31" s="186" t="str">
        <f>'Functionalized Accounts'!B31</f>
        <v xml:space="preserve">Legal Resources and Corporate Governance -  General Counsel </v>
      </c>
      <c r="C31" s="107">
        <f>'Functionalized Accounts'!F31</f>
        <v>11100000.000000004</v>
      </c>
      <c r="D31" s="135">
        <f>+SUM('Summary by Class &amp; Accounts'!E31:'Summary by Class &amp; Accounts'!F31)</f>
        <v>11100000.000000004</v>
      </c>
      <c r="E31" s="153">
        <f t="shared" si="1"/>
        <v>0</v>
      </c>
    </row>
    <row r="32" spans="1:5" ht="12.75" x14ac:dyDescent="0.2">
      <c r="A32" s="75"/>
      <c r="B32" s="186" t="str">
        <f>'Functionalized Accounts'!B32</f>
        <v xml:space="preserve">Legal Resources and Corporate Governance -  Market Rules and Regulatory Affairs </v>
      </c>
      <c r="C32" s="107">
        <f>'Functionalized Accounts'!F32</f>
        <v>2900000.0000000005</v>
      </c>
      <c r="D32" s="135">
        <f>+SUM('Summary by Class &amp; Accounts'!E32:'Summary by Class &amp; Accounts'!F32)</f>
        <v>2900000.0000000009</v>
      </c>
      <c r="E32" s="153">
        <f t="shared" si="1"/>
        <v>0</v>
      </c>
    </row>
    <row r="33" spans="1:5" ht="12.75" x14ac:dyDescent="0.2">
      <c r="A33" s="75"/>
      <c r="B33" s="186" t="str">
        <f>'Functionalized Accounts'!B33</f>
        <v xml:space="preserve">Legal Resources and Corporate Governance -  OEB Assessment Fees </v>
      </c>
      <c r="C33" s="107">
        <f>'Functionalized Accounts'!F33</f>
        <v>600000.00000000012</v>
      </c>
      <c r="D33" s="135">
        <f>+SUM('Summary by Class &amp; Accounts'!E33:'Summary by Class &amp; Accounts'!F33)</f>
        <v>600000.00000000023</v>
      </c>
      <c r="E33" s="153">
        <f t="shared" si="1"/>
        <v>0</v>
      </c>
    </row>
    <row r="34" spans="1:5" ht="12.75" x14ac:dyDescent="0.2">
      <c r="A34" s="75"/>
      <c r="B34" s="186" t="str">
        <f>'Functionalized Accounts'!B34</f>
        <v xml:space="preserve">Legal Resources and Corporate Governance -  Board </v>
      </c>
      <c r="C34" s="107">
        <f>'Functionalized Accounts'!F34</f>
        <v>800000.00000000023</v>
      </c>
      <c r="D34" s="135">
        <f>+SUM('Summary by Class &amp; Accounts'!E34:'Summary by Class &amp; Accounts'!F34)</f>
        <v>800000.00000000023</v>
      </c>
      <c r="E34" s="153">
        <f t="shared" si="1"/>
        <v>0</v>
      </c>
    </row>
    <row r="35" spans="1:5" ht="12.75" x14ac:dyDescent="0.2">
      <c r="A35" s="75"/>
      <c r="B35" s="186" t="str">
        <f>'Functionalized Accounts'!B35</f>
        <v xml:space="preserve">Legal Resources and Corporate Governance -  NERC and NPCC Membership </v>
      </c>
      <c r="C35" s="107">
        <f>'Functionalized Accounts'!F35</f>
        <v>5300000.0000000009</v>
      </c>
      <c r="D35" s="135">
        <f>+SUM('Summary by Class &amp; Accounts'!E35:'Summary by Class &amp; Accounts'!F35)</f>
        <v>5300000.0000000009</v>
      </c>
      <c r="E35" s="153">
        <f t="shared" si="1"/>
        <v>0</v>
      </c>
    </row>
    <row r="36" spans="1:5" ht="12.75" x14ac:dyDescent="0.2">
      <c r="A36" s="75"/>
      <c r="B36" s="186" t="str">
        <f>'Functionalized Accounts'!B36</f>
        <v xml:space="preserve">Legal Resources and Corporate Governance -  Contract Management </v>
      </c>
      <c r="C36" s="107">
        <f>'Functionalized Accounts'!F36</f>
        <v>8740000.0000000019</v>
      </c>
      <c r="D36" s="135">
        <f>+SUM('Summary by Class &amp; Accounts'!E36:'Summary by Class &amp; Accounts'!F36)</f>
        <v>8740000.0000000019</v>
      </c>
      <c r="E36" s="153">
        <f t="shared" si="1"/>
        <v>0</v>
      </c>
    </row>
    <row r="37" spans="1:5" ht="12.75" x14ac:dyDescent="0.2">
      <c r="A37" s="75"/>
      <c r="B37" s="186" t="str">
        <f>'Functionalized Accounts'!B37</f>
        <v xml:space="preserve">Market Assessment and Compliance Division -  Market Assessment and Compliance Division </v>
      </c>
      <c r="C37" s="107">
        <f>'Functionalized Accounts'!F37</f>
        <v>1800000</v>
      </c>
      <c r="D37" s="135">
        <f>+SUM('Summary by Class &amp; Accounts'!E37:'Summary by Class &amp; Accounts'!F37)</f>
        <v>1800000</v>
      </c>
      <c r="E37" s="153">
        <f t="shared" si="1"/>
        <v>0</v>
      </c>
    </row>
    <row r="38" spans="1:5" ht="12.75" x14ac:dyDescent="0.2">
      <c r="A38" s="75"/>
      <c r="B38" s="186" t="str">
        <f>'Functionalized Accounts'!B38</f>
        <v xml:space="preserve">Market Assessment and Compliance Division - Regulatory Fees </v>
      </c>
      <c r="C38" s="107">
        <f>'Functionalized Accounts'!F38</f>
        <v>700000</v>
      </c>
      <c r="D38" s="135">
        <f>+SUM('Summary by Class &amp; Accounts'!E38:'Summary by Class &amp; Accounts'!F38)</f>
        <v>700000</v>
      </c>
      <c r="E38" s="153">
        <f t="shared" ref="E38:E49" si="2">+C38-D38</f>
        <v>0</v>
      </c>
    </row>
    <row r="39" spans="1:5" ht="12.75" x14ac:dyDescent="0.2">
      <c r="A39" s="75"/>
      <c r="B39" s="186" t="str">
        <f>'Functionalized Accounts'!B39</f>
        <v>Corporate Services - VP Office</v>
      </c>
      <c r="C39" s="107">
        <f>'Functionalized Accounts'!F39</f>
        <v>600000</v>
      </c>
      <c r="D39" s="135">
        <f>+SUM('Summary by Class &amp; Accounts'!E39:'Summary by Class &amp; Accounts'!F39)</f>
        <v>600000.00000000012</v>
      </c>
      <c r="E39" s="153">
        <f t="shared" si="2"/>
        <v>0</v>
      </c>
    </row>
    <row r="40" spans="1:5" ht="12.75" x14ac:dyDescent="0.2">
      <c r="A40" s="75"/>
      <c r="B40" s="186" t="str">
        <f>'Functionalized Accounts'!B40</f>
        <v>Corporate Services - Corporate Finance</v>
      </c>
      <c r="C40" s="107">
        <f>'Functionalized Accounts'!F40</f>
        <v>5900000</v>
      </c>
      <c r="D40" s="135">
        <f>+SUM('Summary by Class &amp; Accounts'!E40:'Summary by Class &amp; Accounts'!F40)</f>
        <v>5900000</v>
      </c>
      <c r="E40" s="153">
        <f t="shared" si="2"/>
        <v>0</v>
      </c>
    </row>
    <row r="41" spans="1:5" ht="12.75" x14ac:dyDescent="0.2">
      <c r="A41" s="75"/>
      <c r="B41" s="186" t="str">
        <f>'Functionalized Accounts'!B41</f>
        <v>Corporate Services - Procurement</v>
      </c>
      <c r="C41" s="107">
        <f>'Functionalized Accounts'!F41</f>
        <v>1800000</v>
      </c>
      <c r="D41" s="135">
        <f>+SUM('Summary by Class &amp; Accounts'!E41:'Summary by Class &amp; Accounts'!F41)</f>
        <v>1800000</v>
      </c>
      <c r="E41" s="153">
        <f t="shared" si="2"/>
        <v>0</v>
      </c>
    </row>
    <row r="42" spans="1:5" ht="12.75" x14ac:dyDescent="0.2">
      <c r="A42" s="75"/>
      <c r="B42" s="186" t="str">
        <f>'Functionalized Accounts'!B42</f>
        <v>Corporate Services - Risk, Performance &amp; Reliance and Internal Audit</v>
      </c>
      <c r="C42" s="107">
        <f>'Functionalized Accounts'!F42</f>
        <v>2300000</v>
      </c>
      <c r="D42" s="135">
        <f>+SUM('Summary by Class &amp; Accounts'!E42:'Summary by Class &amp; Accounts'!F42)</f>
        <v>2300000</v>
      </c>
      <c r="E42" s="153">
        <f t="shared" si="2"/>
        <v>0</v>
      </c>
    </row>
    <row r="43" spans="1:5" ht="12.75" x14ac:dyDescent="0.2">
      <c r="A43" s="75"/>
      <c r="B43" s="186" t="str">
        <f>'Functionalized Accounts'!B43</f>
        <v>Corporate Services - Settlements</v>
      </c>
      <c r="C43" s="107">
        <f>'Functionalized Accounts'!F43</f>
        <v>5900000</v>
      </c>
      <c r="D43" s="135">
        <f>+SUM('Summary by Class &amp; Accounts'!E43:'Summary by Class &amp; Accounts'!F43)</f>
        <v>5900000.0000000009</v>
      </c>
      <c r="E43" s="153">
        <f t="shared" si="2"/>
        <v>0</v>
      </c>
    </row>
    <row r="44" spans="1:5" ht="12.75" x14ac:dyDescent="0.2">
      <c r="A44" s="75"/>
      <c r="B44" s="186" t="str">
        <f>'Functionalized Accounts'!B44</f>
        <v>Corporate Services - Facilities</v>
      </c>
      <c r="C44" s="107">
        <f>'Functionalized Accounts'!F44</f>
        <v>10200000</v>
      </c>
      <c r="D44" s="135">
        <f>+SUM('Summary by Class &amp; Accounts'!E44:'Summary by Class &amp; Accounts'!F44)</f>
        <v>10200000</v>
      </c>
      <c r="E44" s="153">
        <f t="shared" si="2"/>
        <v>0</v>
      </c>
    </row>
    <row r="45" spans="1:5" ht="12.75" x14ac:dyDescent="0.2">
      <c r="A45" s="75"/>
      <c r="B45" s="186" t="str">
        <f>'Functionalized Accounts'!B45</f>
        <v>Corporate Services - Enterprise Change</v>
      </c>
      <c r="C45" s="107">
        <f>'Functionalized Accounts'!F45</f>
        <v>3500000</v>
      </c>
      <c r="D45" s="135">
        <f>+SUM('Summary by Class &amp; Accounts'!E45:'Summary by Class &amp; Accounts'!F45)</f>
        <v>3500000.0000000005</v>
      </c>
      <c r="E45" s="153">
        <f t="shared" si="2"/>
        <v>0</v>
      </c>
    </row>
    <row r="46" spans="1:5" ht="12.75" x14ac:dyDescent="0.2">
      <c r="A46" s="75"/>
      <c r="B46" s="186" t="str">
        <f>'Functionalized Accounts'!B46</f>
        <v>Human Resources</v>
      </c>
      <c r="C46" s="107">
        <f>'Functionalized Accounts'!F46</f>
        <v>6400000</v>
      </c>
      <c r="D46" s="135">
        <f>+SUM('Summary by Class &amp; Accounts'!E46:'Summary by Class &amp; Accounts'!F46)</f>
        <v>6400000</v>
      </c>
      <c r="E46" s="153">
        <f t="shared" si="2"/>
        <v>0</v>
      </c>
    </row>
    <row r="47" spans="1:5" ht="12.75" x14ac:dyDescent="0.2">
      <c r="A47" s="75"/>
      <c r="B47" s="186" t="str">
        <f>'Functionalized Accounts'!B47</f>
        <v>Corporate Adjustment - General</v>
      </c>
      <c r="C47" s="107">
        <f>'Functionalized Accounts'!F47</f>
        <v>600000</v>
      </c>
      <c r="D47" s="135">
        <f>+SUM('Summary by Class &amp; Accounts'!E47:'Summary by Class &amp; Accounts'!F47)</f>
        <v>600000</v>
      </c>
      <c r="E47" s="153">
        <f t="shared" si="2"/>
        <v>0</v>
      </c>
    </row>
    <row r="48" spans="1:5" ht="12.75" x14ac:dyDescent="0.2">
      <c r="A48" s="75"/>
      <c r="B48" s="186" t="str">
        <f>'Functionalized Accounts'!B48</f>
        <v>Market Renewal</v>
      </c>
      <c r="C48" s="107">
        <f>'Functionalized Accounts'!F48</f>
        <v>4400000</v>
      </c>
      <c r="D48" s="135">
        <f>+SUM('Summary by Class &amp; Accounts'!E48:'Summary by Class &amp; Accounts'!F48)</f>
        <v>4400000</v>
      </c>
      <c r="E48" s="153">
        <f t="shared" si="2"/>
        <v>0</v>
      </c>
    </row>
    <row r="49" spans="1:5" ht="12.75" x14ac:dyDescent="0.2">
      <c r="A49" s="75"/>
      <c r="B49" s="186" t="str">
        <f>'Functionalized Accounts'!B49</f>
        <v>Interest, Amortization and Registration Fees - Amortization</v>
      </c>
      <c r="C49" s="107">
        <f>'Functionalized Accounts'!F49</f>
        <v>22000000</v>
      </c>
      <c r="D49" s="135">
        <f>+SUM('Summary by Class &amp; Accounts'!E49:'Summary by Class &amp; Accounts'!F49)</f>
        <v>22000000</v>
      </c>
      <c r="E49" s="153">
        <f t="shared" si="2"/>
        <v>0</v>
      </c>
    </row>
    <row r="50" spans="1:5" ht="12.75" x14ac:dyDescent="0.2">
      <c r="A50" s="75"/>
      <c r="B50" s="186" t="str">
        <f>'Functionalized Accounts'!B50</f>
        <v>Interest, Amortization and Registration Fees - Interest</v>
      </c>
      <c r="C50" s="107">
        <f>'Functionalized Accounts'!F50</f>
        <v>-9700000</v>
      </c>
      <c r="D50" s="135">
        <f>+SUM('Summary by Class &amp; Accounts'!E50:'Summary by Class &amp; Accounts'!F50)</f>
        <v>-9700000.0000000019</v>
      </c>
      <c r="E50" s="153">
        <f t="shared" ref="E50:E51" si="3">+C50-D50</f>
        <v>0</v>
      </c>
    </row>
    <row r="51" spans="1:5" ht="12.75" x14ac:dyDescent="0.2">
      <c r="A51" s="75"/>
      <c r="B51" s="186" t="str">
        <f>'Functionalized Accounts'!B51</f>
        <v>Interest, Amortization and Registration Fees - Registration Fees</v>
      </c>
      <c r="C51" s="107">
        <f>'Functionalized Accounts'!F51</f>
        <v>-500000</v>
      </c>
      <c r="D51" s="135">
        <f>+SUM('Summary by Class &amp; Accounts'!E51:'Summary by Class &amp; Accounts'!F51)</f>
        <v>-500000</v>
      </c>
      <c r="E51" s="153">
        <f t="shared" si="3"/>
        <v>0</v>
      </c>
    </row>
    <row r="52" spans="1:5" ht="12.75" x14ac:dyDescent="0.2">
      <c r="A52" s="75"/>
      <c r="B52" s="186" t="str">
        <f>'Functionalized Accounts'!B57</f>
        <v>Assets - Assets</v>
      </c>
      <c r="C52" s="107">
        <f>'Functionalized Accounts'!F57</f>
        <v>56423729.439999998</v>
      </c>
      <c r="D52" s="135">
        <f>+SUM('Summary by Class &amp; Accounts'!E52:'Summary by Class &amp; Accounts'!F52)</f>
        <v>56423729.440000005</v>
      </c>
      <c r="E52" s="153">
        <f t="shared" ref="E52:E56" si="4">+C52-D52</f>
        <v>0</v>
      </c>
    </row>
    <row r="53" spans="1:5" ht="12.75" x14ac:dyDescent="0.2">
      <c r="A53" s="75"/>
      <c r="B53" s="186" t="str">
        <f>'Functionalized Accounts'!B58</f>
        <v>Assets - Market systems &amp; applications</v>
      </c>
      <c r="C53" s="107">
        <f>'Functionalized Accounts'!F58</f>
        <v>338405073.16000003</v>
      </c>
      <c r="D53" s="135">
        <f>+SUM('Summary by Class &amp; Accounts'!E53:'Summary by Class &amp; Accounts'!F53)</f>
        <v>338405073.16000003</v>
      </c>
      <c r="E53" s="153">
        <f t="shared" si="4"/>
        <v>0</v>
      </c>
    </row>
    <row r="54" spans="1:5" ht="12.75" x14ac:dyDescent="0.2">
      <c r="A54" s="75"/>
      <c r="B54" s="186" t="str">
        <f>'Functionalized Accounts'!B59</f>
        <v>Assets - Infrastructure &amp; other assets</v>
      </c>
      <c r="C54" s="107">
        <f>'Functionalized Accounts'!F59</f>
        <v>77009333.519999996</v>
      </c>
      <c r="D54" s="135">
        <f>+SUM('Summary by Class &amp; Accounts'!E54:'Summary by Class &amp; Accounts'!F54)</f>
        <v>77009333.519999996</v>
      </c>
      <c r="E54" s="153">
        <f t="shared" si="4"/>
        <v>0</v>
      </c>
    </row>
    <row r="55" spans="1:5" ht="12.75" x14ac:dyDescent="0.2">
      <c r="A55" s="75"/>
      <c r="B55" s="186" t="str">
        <f>'Functionalized Accounts'!B60</f>
        <v>Assets - Assets Under Construction</v>
      </c>
      <c r="C55" s="107">
        <f>'Functionalized Accounts'!F60</f>
        <v>26492185.140000001</v>
      </c>
      <c r="D55" s="135">
        <f>+SUM('Summary by Class &amp; Accounts'!E55:'Summary by Class &amp; Accounts'!F55)</f>
        <v>26492185.140000004</v>
      </c>
      <c r="E55" s="153">
        <f t="shared" si="4"/>
        <v>0</v>
      </c>
    </row>
    <row r="56" spans="1:5" ht="13.5" thickBot="1" x14ac:dyDescent="0.25">
      <c r="A56" s="75"/>
      <c r="B56" s="186" t="str">
        <f>'Functionalized Accounts'!B61</f>
        <v>Accumulated Amortization</v>
      </c>
      <c r="C56" s="107">
        <f>'Functionalized Accounts'!F61</f>
        <v>-395683331.63999999</v>
      </c>
      <c r="D56" s="135">
        <f>+SUM('Summary by Class &amp; Accounts'!E56:'Summary by Class &amp; Accounts'!F56)</f>
        <v>-395683331.64000005</v>
      </c>
      <c r="E56" s="153">
        <f t="shared" si="4"/>
        <v>0</v>
      </c>
    </row>
    <row r="57" spans="1:5" s="4" customFormat="1" ht="16.5" thickBot="1" x14ac:dyDescent="0.3">
      <c r="A57" s="187"/>
      <c r="B57" s="312" t="s">
        <v>10</v>
      </c>
      <c r="C57" s="397">
        <f>IF(ISERROR(SUM(C9:C56)), "-", SUM(C9:C56))</f>
        <v>325576989.62</v>
      </c>
      <c r="D57" s="398">
        <f>IF(ISERROR(SUM(D9:D56)), "-", SUM(D9:D56))</f>
        <v>325576989.61999995</v>
      </c>
      <c r="E57" s="313">
        <f>IF(ISERROR(SUM(E9:E56)), "-", SUM(E9:E56))</f>
        <v>0</v>
      </c>
    </row>
    <row r="58" spans="1:5" ht="12.75" x14ac:dyDescent="0.2">
      <c r="A58" s="85"/>
      <c r="B58" s="56"/>
      <c r="C58" s="134"/>
      <c r="D58" s="52"/>
      <c r="E58" s="52"/>
    </row>
  </sheetData>
  <phoneticPr fontId="8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54"/>
  <sheetViews>
    <sheetView tabSelected="1" view="pageLayout" zoomScaleNormal="100" workbookViewId="0">
      <selection activeCell="A2" sqref="A2"/>
    </sheetView>
  </sheetViews>
  <sheetFormatPr defaultRowHeight="13.5" customHeight="1" x14ac:dyDescent="0.2"/>
  <cols>
    <col min="1" max="1" width="67.85546875" customWidth="1"/>
    <col min="2" max="2" width="6" style="418" bestFit="1" customWidth="1"/>
    <col min="3" max="3" width="11.28515625" bestFit="1" customWidth="1"/>
    <col min="4" max="4" width="0.7109375" customWidth="1"/>
    <col min="5" max="6" width="12.42578125" customWidth="1"/>
    <col min="7" max="7" width="0.7109375" customWidth="1"/>
    <col min="8" max="9" width="12.42578125" customWidth="1"/>
    <col min="10" max="10" width="0.7109375" customWidth="1"/>
    <col min="11" max="12" width="12.42578125" customWidth="1"/>
    <col min="13" max="13" width="0.7109375" customWidth="1"/>
    <col min="14" max="15" width="12.42578125" customWidth="1"/>
    <col min="16" max="16" width="0.7109375" customWidth="1"/>
    <col min="17" max="18" width="12.42578125" customWidth="1"/>
    <col min="19" max="19" width="0.7109375" customWidth="1"/>
    <col min="20" max="21" width="12.42578125" customWidth="1"/>
    <col min="22" max="22" width="0.7109375" customWidth="1"/>
    <col min="23" max="24" width="12.42578125" customWidth="1"/>
    <col min="25" max="26" width="12.28515625" bestFit="1" customWidth="1"/>
    <col min="27" max="27" width="11.140625" customWidth="1"/>
    <col min="28" max="28" width="15" bestFit="1" customWidth="1"/>
    <col min="29" max="29" width="12" customWidth="1"/>
  </cols>
  <sheetData>
    <row r="1" spans="1:31" thickBot="1" x14ac:dyDescent="0.25"/>
    <row r="2" spans="1:31" ht="12.75" x14ac:dyDescent="0.2">
      <c r="E2" s="482" t="s">
        <v>127</v>
      </c>
      <c r="F2" s="483"/>
      <c r="H2" s="482" t="s">
        <v>133</v>
      </c>
      <c r="I2" s="483"/>
      <c r="K2" s="482" t="s">
        <v>128</v>
      </c>
      <c r="L2" s="483"/>
      <c r="N2" s="482" t="s">
        <v>112</v>
      </c>
      <c r="O2" s="483"/>
      <c r="Q2" s="482" t="s">
        <v>128</v>
      </c>
      <c r="R2" s="483"/>
      <c r="T2" s="482" t="s">
        <v>129</v>
      </c>
      <c r="U2" s="483"/>
      <c r="W2" s="482" t="s">
        <v>10</v>
      </c>
      <c r="X2" s="483"/>
    </row>
    <row r="3" spans="1:31" ht="12.75" x14ac:dyDescent="0.2">
      <c r="E3" s="484" t="s">
        <v>134</v>
      </c>
      <c r="F3" s="485"/>
      <c r="H3" s="484" t="s">
        <v>130</v>
      </c>
      <c r="I3" s="485"/>
      <c r="K3" s="484" t="s">
        <v>131</v>
      </c>
      <c r="L3" s="485"/>
      <c r="N3" s="484" t="s">
        <v>132</v>
      </c>
      <c r="O3" s="485"/>
      <c r="Q3" s="378"/>
      <c r="R3" s="379"/>
      <c r="T3" s="484" t="s">
        <v>130</v>
      </c>
      <c r="U3" s="485"/>
      <c r="W3" s="378"/>
      <c r="X3" s="379"/>
    </row>
    <row r="4" spans="1:31" thickBot="1" x14ac:dyDescent="0.25">
      <c r="E4" s="370" t="s">
        <v>27</v>
      </c>
      <c r="F4" s="371" t="s">
        <v>28</v>
      </c>
      <c r="H4" s="370" t="s">
        <v>27</v>
      </c>
      <c r="I4" s="371" t="s">
        <v>28</v>
      </c>
      <c r="K4" s="370" t="s">
        <v>27</v>
      </c>
      <c r="L4" s="371" t="s">
        <v>28</v>
      </c>
      <c r="N4" s="370" t="s">
        <v>27</v>
      </c>
      <c r="O4" s="371" t="s">
        <v>28</v>
      </c>
      <c r="Q4" s="370" t="s">
        <v>27</v>
      </c>
      <c r="R4" s="371" t="s">
        <v>28</v>
      </c>
      <c r="T4" s="370" t="s">
        <v>27</v>
      </c>
      <c r="U4" s="371" t="s">
        <v>28</v>
      </c>
      <c r="W4" s="370" t="s">
        <v>27</v>
      </c>
      <c r="X4" s="371" t="s">
        <v>28</v>
      </c>
    </row>
    <row r="5" spans="1:31" ht="12.75" x14ac:dyDescent="0.2">
      <c r="A5" s="154" t="str">
        <f>'Functionalized Accounts'!B9</f>
        <v>CEO Office</v>
      </c>
      <c r="B5" s="419" t="str">
        <f>'TB Allocation Details'!C6</f>
        <v>O&amp;A</v>
      </c>
      <c r="C5" s="350">
        <f>'Functionalized Accounts'!D9</f>
        <v>1500000</v>
      </c>
      <c r="E5" s="372"/>
      <c r="F5" s="373"/>
      <c r="H5" s="372"/>
      <c r="I5" s="373"/>
      <c r="K5" s="372">
        <f>E5+H5</f>
        <v>0</v>
      </c>
      <c r="L5" s="373">
        <f>F5+I5</f>
        <v>0</v>
      </c>
      <c r="N5" s="372">
        <f>$C5*N$51</f>
        <v>1416796.4340286737</v>
      </c>
      <c r="O5" s="373">
        <f>$C5*O$51</f>
        <v>83203.56597132633</v>
      </c>
      <c r="Q5" s="372">
        <f>K5+N5</f>
        <v>1416796.4340286737</v>
      </c>
      <c r="R5" s="373">
        <f>L5+O5</f>
        <v>83203.56597132633</v>
      </c>
      <c r="T5" s="372"/>
      <c r="U5" s="373"/>
      <c r="W5" s="372">
        <f>Q5+T5</f>
        <v>1416796.4340286737</v>
      </c>
      <c r="X5" s="373">
        <f>R5+U5</f>
        <v>83203.56597132633</v>
      </c>
    </row>
    <row r="6" spans="1:31" ht="12.75" x14ac:dyDescent="0.2">
      <c r="A6" s="154" t="str">
        <f>'Functionalized Accounts'!B10</f>
        <v xml:space="preserve">Markets &amp; Reliability -  VP Office </v>
      </c>
      <c r="B6" s="419" t="str">
        <f>'TB Allocation Details'!C7</f>
        <v>M&amp;R</v>
      </c>
      <c r="C6" s="350">
        <f>'Functionalized Accounts'!D10</f>
        <v>1100000</v>
      </c>
      <c r="E6" s="390"/>
      <c r="F6" s="391"/>
      <c r="H6" s="390">
        <f>$C6*SUM(E$7:E$10)/SUM($C$7:$C$10)</f>
        <v>1029260.1967928438</v>
      </c>
      <c r="I6" s="391">
        <f>$C6*SUM(F$7:F$10)/SUM($C$7:$C$10)</f>
        <v>70739.803207156292</v>
      </c>
      <c r="K6" s="390">
        <f t="shared" ref="K6:K42" si="0">E6+H6</f>
        <v>1029260.1967928438</v>
      </c>
      <c r="L6" s="391">
        <f t="shared" ref="L6:L42" si="1">F6+I6</f>
        <v>70739.803207156292</v>
      </c>
      <c r="N6" s="390"/>
      <c r="O6" s="391"/>
      <c r="Q6" s="390">
        <f t="shared" ref="Q6:Q42" si="2">K6+N6</f>
        <v>1029260.1967928438</v>
      </c>
      <c r="R6" s="391">
        <f t="shared" ref="R6:R42" si="3">L6+O6</f>
        <v>70739.803207156292</v>
      </c>
      <c r="T6" s="390"/>
      <c r="U6" s="391"/>
      <c r="W6" s="390">
        <f t="shared" ref="W6:W31" si="4">Q6+T6</f>
        <v>1029260.1967928438</v>
      </c>
      <c r="X6" s="391">
        <f t="shared" ref="X6:X31" si="5">R6+U6</f>
        <v>70739.803207156292</v>
      </c>
      <c r="Z6" s="403"/>
      <c r="AA6" s="403"/>
      <c r="AB6" s="404"/>
      <c r="AC6" s="404"/>
      <c r="AD6" s="403"/>
      <c r="AE6" s="403"/>
    </row>
    <row r="7" spans="1:31" ht="12.75" x14ac:dyDescent="0.2">
      <c r="A7" s="154" t="str">
        <f>'Functionalized Accounts'!B11</f>
        <v xml:space="preserve">Markets &amp; Reliability -  Power System Assessments </v>
      </c>
      <c r="B7" s="419" t="str">
        <f>'TB Allocation Details'!C8</f>
        <v>TWh</v>
      </c>
      <c r="C7" s="350">
        <f>'Functionalized Accounts'!D11</f>
        <v>11600000</v>
      </c>
      <c r="E7" s="372">
        <f>$C7*E$50</f>
        <v>10854016.620724535</v>
      </c>
      <c r="F7" s="373">
        <f>$C7*F$50</f>
        <v>745983.3792754662</v>
      </c>
      <c r="H7" s="372"/>
      <c r="I7" s="373"/>
      <c r="K7" s="372">
        <f t="shared" si="0"/>
        <v>10854016.620724535</v>
      </c>
      <c r="L7" s="373">
        <f t="shared" si="1"/>
        <v>745983.3792754662</v>
      </c>
      <c r="N7" s="372"/>
      <c r="O7" s="373"/>
      <c r="Q7" s="372">
        <f t="shared" si="2"/>
        <v>10854016.620724535</v>
      </c>
      <c r="R7" s="373">
        <f t="shared" si="3"/>
        <v>745983.3792754662</v>
      </c>
      <c r="T7" s="372"/>
      <c r="U7" s="373"/>
      <c r="W7" s="372">
        <f t="shared" si="4"/>
        <v>10854016.620724535</v>
      </c>
      <c r="X7" s="373">
        <f t="shared" si="5"/>
        <v>745983.3792754662</v>
      </c>
    </row>
    <row r="8" spans="1:31" ht="12.75" x14ac:dyDescent="0.2">
      <c r="A8" s="154" t="str">
        <f>'Functionalized Accounts'!B12</f>
        <v xml:space="preserve">Markets &amp; Reliability -  Market Operations </v>
      </c>
      <c r="B8" s="419" t="str">
        <f>'TB Allocation Details'!C9</f>
        <v>TWh</v>
      </c>
      <c r="C8" s="350">
        <f>'Functionalized Accounts'!D12</f>
        <v>17200000</v>
      </c>
      <c r="E8" s="372">
        <f>$C8*E$50</f>
        <v>16093886.713488102</v>
      </c>
      <c r="F8" s="373">
        <f>$C8*F$50</f>
        <v>1106113.2865118983</v>
      </c>
      <c r="H8" s="372"/>
      <c r="I8" s="373"/>
      <c r="K8" s="372">
        <f t="shared" si="0"/>
        <v>16093886.713488102</v>
      </c>
      <c r="L8" s="373">
        <f t="shared" si="1"/>
        <v>1106113.2865118983</v>
      </c>
      <c r="N8" s="372"/>
      <c r="O8" s="373"/>
      <c r="Q8" s="372">
        <f t="shared" si="2"/>
        <v>16093886.713488102</v>
      </c>
      <c r="R8" s="373">
        <f t="shared" si="3"/>
        <v>1106113.2865118983</v>
      </c>
      <c r="T8" s="372"/>
      <c r="U8" s="373"/>
      <c r="W8" s="372">
        <f t="shared" si="4"/>
        <v>16093886.713488102</v>
      </c>
      <c r="X8" s="373">
        <f t="shared" si="5"/>
        <v>1106113.2865118983</v>
      </c>
    </row>
    <row r="9" spans="1:31" ht="12.75" x14ac:dyDescent="0.2">
      <c r="A9" s="154" t="str">
        <f>'Functionalized Accounts'!B13</f>
        <v xml:space="preserve">Markets &amp; Reliability -  Wholesale Market Development </v>
      </c>
      <c r="B9" s="419" t="str">
        <f>'TB Allocation Details'!C10</f>
        <v>TWh</v>
      </c>
      <c r="C9" s="350">
        <f>'Functionalized Accounts'!D13</f>
        <v>4600000.0000000009</v>
      </c>
      <c r="E9" s="372">
        <f t="shared" ref="E9:F10" si="6">$C9*E$50</f>
        <v>4304179.004770075</v>
      </c>
      <c r="F9" s="373">
        <f t="shared" si="6"/>
        <v>295820.99522992631</v>
      </c>
      <c r="H9" s="372"/>
      <c r="I9" s="373"/>
      <c r="K9" s="372">
        <f t="shared" si="0"/>
        <v>4304179.004770075</v>
      </c>
      <c r="L9" s="373">
        <f t="shared" si="1"/>
        <v>295820.99522992631</v>
      </c>
      <c r="N9" s="372"/>
      <c r="O9" s="373"/>
      <c r="Q9" s="372">
        <f t="shared" si="2"/>
        <v>4304179.004770075</v>
      </c>
      <c r="R9" s="373">
        <f t="shared" si="3"/>
        <v>295820.99522992631</v>
      </c>
      <c r="T9" s="372"/>
      <c r="U9" s="373"/>
      <c r="W9" s="372">
        <f t="shared" si="4"/>
        <v>4304179.004770075</v>
      </c>
      <c r="X9" s="373">
        <f t="shared" si="5"/>
        <v>295820.99522992631</v>
      </c>
    </row>
    <row r="10" spans="1:31" ht="12.75" x14ac:dyDescent="0.2">
      <c r="A10" s="154" t="str">
        <f>'Functionalized Accounts'!B14</f>
        <v xml:space="preserve">Markets &amp; Reliability -  Reliability Assurance &amp; Operational Assessments </v>
      </c>
      <c r="B10" s="419" t="str">
        <f>'TB Allocation Details'!C11</f>
        <v>TWh</v>
      </c>
      <c r="C10" s="350">
        <f>'Functionalized Accounts'!D14</f>
        <v>5800000</v>
      </c>
      <c r="E10" s="372">
        <f t="shared" si="6"/>
        <v>5427008.3103622673</v>
      </c>
      <c r="F10" s="373">
        <f t="shared" si="6"/>
        <v>372991.6896377331</v>
      </c>
      <c r="H10" s="372"/>
      <c r="I10" s="373"/>
      <c r="K10" s="372">
        <f t="shared" si="0"/>
        <v>5427008.3103622673</v>
      </c>
      <c r="L10" s="373">
        <f t="shared" si="1"/>
        <v>372991.6896377331</v>
      </c>
      <c r="N10" s="372"/>
      <c r="O10" s="373"/>
      <c r="Q10" s="372">
        <f t="shared" si="2"/>
        <v>5427008.3103622673</v>
      </c>
      <c r="R10" s="373">
        <f t="shared" si="3"/>
        <v>372991.6896377331</v>
      </c>
      <c r="T10" s="372"/>
      <c r="U10" s="373"/>
      <c r="W10" s="372">
        <f t="shared" si="4"/>
        <v>5427008.3103622673</v>
      </c>
      <c r="X10" s="373">
        <f t="shared" si="5"/>
        <v>372991.6896377331</v>
      </c>
    </row>
    <row r="11" spans="1:31" ht="25.5" x14ac:dyDescent="0.2">
      <c r="A11" s="154" t="str">
        <f>'Functionalized Accounts'!B15</f>
        <v xml:space="preserve">Planning, Conservation and Resource Adequacy -  VP Office and Planning Projects &amp; Sustainability </v>
      </c>
      <c r="B11" s="419" t="str">
        <f>'TB Allocation Details'!C12</f>
        <v>PCRA</v>
      </c>
      <c r="C11" s="350">
        <f>'Functionalized Accounts'!D15</f>
        <v>1100000</v>
      </c>
      <c r="E11" s="390"/>
      <c r="F11" s="391"/>
      <c r="H11" s="390">
        <f>$C11*SUM(E$12:E$15)/SUM($C$12:$C$15)</f>
        <v>1100000</v>
      </c>
      <c r="I11" s="391">
        <f>$C11*SUM(F$12:F$15)/SUM($C$12:$C$15)</f>
        <v>0</v>
      </c>
      <c r="K11" s="390">
        <f t="shared" si="0"/>
        <v>1100000</v>
      </c>
      <c r="L11" s="391">
        <f t="shared" si="1"/>
        <v>0</v>
      </c>
      <c r="N11" s="390"/>
      <c r="O11" s="391"/>
      <c r="Q11" s="390">
        <f t="shared" si="2"/>
        <v>1100000</v>
      </c>
      <c r="R11" s="391">
        <f t="shared" si="3"/>
        <v>0</v>
      </c>
      <c r="T11" s="390"/>
      <c r="U11" s="391"/>
      <c r="W11" s="390">
        <f t="shared" si="4"/>
        <v>1100000</v>
      </c>
      <c r="X11" s="391">
        <f t="shared" si="5"/>
        <v>0</v>
      </c>
    </row>
    <row r="12" spans="1:31" ht="12.75" x14ac:dyDescent="0.2">
      <c r="A12" s="154" t="str">
        <f>'Functionalized Accounts'!B16</f>
        <v xml:space="preserve">Planning, Conservation and Resource Adequacy -  Resource Planning </v>
      </c>
      <c r="B12" s="419" t="str">
        <f>'TB Allocation Details'!C13</f>
        <v>DOM</v>
      </c>
      <c r="C12" s="350">
        <f>'Functionalized Accounts'!D16</f>
        <v>6400000</v>
      </c>
      <c r="E12" s="372">
        <f>C12</f>
        <v>6400000</v>
      </c>
      <c r="F12" s="373"/>
      <c r="H12" s="372"/>
      <c r="I12" s="373"/>
      <c r="K12" s="372">
        <f t="shared" si="0"/>
        <v>6400000</v>
      </c>
      <c r="L12" s="373">
        <f t="shared" si="1"/>
        <v>0</v>
      </c>
      <c r="N12" s="372"/>
      <c r="O12" s="373"/>
      <c r="Q12" s="372">
        <f t="shared" si="2"/>
        <v>6400000</v>
      </c>
      <c r="R12" s="373">
        <f t="shared" si="3"/>
        <v>0</v>
      </c>
      <c r="T12" s="372"/>
      <c r="U12" s="373"/>
      <c r="W12" s="372">
        <f t="shared" si="4"/>
        <v>6400000</v>
      </c>
      <c r="X12" s="373">
        <f t="shared" si="5"/>
        <v>0</v>
      </c>
    </row>
    <row r="13" spans="1:31" ht="12.75" x14ac:dyDescent="0.2">
      <c r="A13" s="154" t="str">
        <f>'Functionalized Accounts'!B17</f>
        <v xml:space="preserve">Planning, Conservation and Resource Adequacy -  Transmission Planning </v>
      </c>
      <c r="B13" s="419" t="str">
        <f>'TB Allocation Details'!C14</f>
        <v>DOM</v>
      </c>
      <c r="C13" s="350">
        <f>'Functionalized Accounts'!D17</f>
        <v>6900000</v>
      </c>
      <c r="E13" s="372">
        <f>C13</f>
        <v>6900000</v>
      </c>
      <c r="F13" s="373"/>
      <c r="H13" s="372"/>
      <c r="I13" s="373"/>
      <c r="K13" s="372">
        <f t="shared" si="0"/>
        <v>6900000</v>
      </c>
      <c r="L13" s="373">
        <f t="shared" si="1"/>
        <v>0</v>
      </c>
      <c r="N13" s="372"/>
      <c r="O13" s="373"/>
      <c r="Q13" s="372">
        <f t="shared" si="2"/>
        <v>6900000</v>
      </c>
      <c r="R13" s="373">
        <f t="shared" si="3"/>
        <v>0</v>
      </c>
      <c r="T13" s="372"/>
      <c r="U13" s="373"/>
      <c r="W13" s="372">
        <f t="shared" si="4"/>
        <v>6900000</v>
      </c>
      <c r="X13" s="373">
        <f t="shared" si="5"/>
        <v>0</v>
      </c>
    </row>
    <row r="14" spans="1:31" ht="25.5" x14ac:dyDescent="0.2">
      <c r="A14" s="154" t="str">
        <f>'Functionalized Accounts'!B18</f>
        <v xml:space="preserve">Planning, Conservation and Resource Adequacy -  Resource &amp; System Adequacy </v>
      </c>
      <c r="B14" s="419" t="str">
        <f>'TB Allocation Details'!C15</f>
        <v>DOM</v>
      </c>
      <c r="C14" s="350">
        <f>'Functionalized Accounts'!D18</f>
        <v>7100000</v>
      </c>
      <c r="E14" s="372">
        <f>C14</f>
        <v>7100000</v>
      </c>
      <c r="F14" s="373"/>
      <c r="H14" s="372"/>
      <c r="I14" s="373"/>
      <c r="K14" s="372">
        <f t="shared" si="0"/>
        <v>7100000</v>
      </c>
      <c r="L14" s="373">
        <f t="shared" si="1"/>
        <v>0</v>
      </c>
      <c r="N14" s="372"/>
      <c r="O14" s="373"/>
      <c r="Q14" s="372">
        <f t="shared" si="2"/>
        <v>7100000</v>
      </c>
      <c r="R14" s="373">
        <f t="shared" si="3"/>
        <v>0</v>
      </c>
      <c r="T14" s="372"/>
      <c r="U14" s="373"/>
      <c r="W14" s="372">
        <f t="shared" si="4"/>
        <v>7100000</v>
      </c>
      <c r="X14" s="373">
        <f t="shared" si="5"/>
        <v>0</v>
      </c>
      <c r="Z14" s="403"/>
      <c r="AA14" s="403"/>
      <c r="AB14" s="368"/>
      <c r="AC14" s="368"/>
      <c r="AD14" s="403"/>
      <c r="AE14" s="403"/>
    </row>
    <row r="15" spans="1:31" ht="12.75" x14ac:dyDescent="0.2">
      <c r="A15" s="154" t="str">
        <f>'Functionalized Accounts'!B19</f>
        <v xml:space="preserve">Planning, Conservation and Resource Adequacy -  Energy Efficiency </v>
      </c>
      <c r="B15" s="419" t="str">
        <f>'TB Allocation Details'!C16</f>
        <v>DOM</v>
      </c>
      <c r="C15" s="350">
        <f>'Functionalized Accounts'!D19</f>
        <v>6730000</v>
      </c>
      <c r="E15" s="392">
        <f>C15</f>
        <v>6730000</v>
      </c>
      <c r="F15" s="393"/>
      <c r="H15" s="392"/>
      <c r="I15" s="393">
        <f>$C15*SUM(F$17:F$22)/SUM($C$17:$C$22)</f>
        <v>0</v>
      </c>
      <c r="K15" s="392">
        <f t="shared" si="0"/>
        <v>6730000</v>
      </c>
      <c r="L15" s="393">
        <f t="shared" si="1"/>
        <v>0</v>
      </c>
      <c r="N15" s="392"/>
      <c r="O15" s="393"/>
      <c r="Q15" s="392">
        <f t="shared" si="2"/>
        <v>6730000</v>
      </c>
      <c r="R15" s="393">
        <f t="shared" si="3"/>
        <v>0</v>
      </c>
      <c r="T15" s="392"/>
      <c r="U15" s="393"/>
      <c r="W15" s="392">
        <f t="shared" si="4"/>
        <v>6730000</v>
      </c>
      <c r="X15" s="393">
        <f t="shared" si="5"/>
        <v>0</v>
      </c>
    </row>
    <row r="16" spans="1:31" ht="12.75" x14ac:dyDescent="0.2">
      <c r="A16" s="154" t="str">
        <f>'Functionalized Accounts'!B20</f>
        <v xml:space="preserve">Corporate Relations, Stakeholder Engagement and Innovation -  VP Office </v>
      </c>
      <c r="B16" s="419" t="str">
        <f>'TB Allocation Details'!C17</f>
        <v>CRSEI</v>
      </c>
      <c r="C16" s="350">
        <f>'Functionalized Accounts'!D20</f>
        <v>700000</v>
      </c>
      <c r="E16" s="372"/>
      <c r="F16" s="373"/>
      <c r="H16" s="372">
        <f>$C16*SUM(E$17:E$20)/SUM($C$17:$C$20)</f>
        <v>700000</v>
      </c>
      <c r="I16" s="373">
        <f>$C16*SUM(F$17:F$20)/SUM($C$17:$C$20)</f>
        <v>0</v>
      </c>
      <c r="K16" s="372">
        <f t="shared" si="0"/>
        <v>700000</v>
      </c>
      <c r="L16" s="373">
        <f t="shared" si="1"/>
        <v>0</v>
      </c>
      <c r="N16" s="372"/>
      <c r="O16" s="373"/>
      <c r="Q16" s="372">
        <f t="shared" si="2"/>
        <v>700000</v>
      </c>
      <c r="R16" s="373">
        <f t="shared" si="3"/>
        <v>0</v>
      </c>
      <c r="T16" s="372"/>
      <c r="U16" s="373"/>
      <c r="W16" s="372">
        <f t="shared" si="4"/>
        <v>700000</v>
      </c>
      <c r="X16" s="373">
        <f t="shared" si="5"/>
        <v>0</v>
      </c>
    </row>
    <row r="17" spans="1:31" ht="25.5" x14ac:dyDescent="0.2">
      <c r="A17" s="154" t="str">
        <f>'Functionalized Accounts'!B21</f>
        <v xml:space="preserve">Corporate Relations, Stakeholder Engagement and Innovation -  Government Affairs </v>
      </c>
      <c r="B17" s="419" t="str">
        <f>'TB Allocation Details'!C18</f>
        <v>DOM</v>
      </c>
      <c r="C17" s="350">
        <f>'Functionalized Accounts'!D21</f>
        <v>650000</v>
      </c>
      <c r="E17" s="372">
        <f>C17</f>
        <v>650000</v>
      </c>
      <c r="F17" s="373"/>
      <c r="H17" s="372"/>
      <c r="I17" s="373"/>
      <c r="K17" s="372">
        <f t="shared" si="0"/>
        <v>650000</v>
      </c>
      <c r="L17" s="373">
        <f t="shared" si="1"/>
        <v>0</v>
      </c>
      <c r="N17" s="372"/>
      <c r="O17" s="373"/>
      <c r="Q17" s="372">
        <f t="shared" si="2"/>
        <v>650000</v>
      </c>
      <c r="R17" s="373">
        <f t="shared" si="3"/>
        <v>0</v>
      </c>
      <c r="T17" s="372"/>
      <c r="U17" s="373"/>
      <c r="W17" s="372">
        <f t="shared" si="4"/>
        <v>650000</v>
      </c>
      <c r="X17" s="373">
        <f t="shared" si="5"/>
        <v>0</v>
      </c>
    </row>
    <row r="18" spans="1:31" ht="25.5" x14ac:dyDescent="0.2">
      <c r="A18" s="154" t="str">
        <f>'Functionalized Accounts'!B22</f>
        <v xml:space="preserve">Corporate Relations, Stakeholder Engagement and Innovation -  Corporate Communications </v>
      </c>
      <c r="B18" s="419" t="str">
        <f>'TB Allocation Details'!C19</f>
        <v>DOM</v>
      </c>
      <c r="C18" s="350">
        <f>'Functionalized Accounts'!D22</f>
        <v>4150000.0000000005</v>
      </c>
      <c r="E18" s="372">
        <f>C18</f>
        <v>4150000.0000000005</v>
      </c>
      <c r="F18" s="373"/>
      <c r="H18" s="372"/>
      <c r="I18" s="373"/>
      <c r="K18" s="372">
        <f t="shared" si="0"/>
        <v>4150000.0000000005</v>
      </c>
      <c r="L18" s="373">
        <f t="shared" si="1"/>
        <v>0</v>
      </c>
      <c r="N18" s="372"/>
      <c r="O18" s="373"/>
      <c r="Q18" s="372">
        <f t="shared" si="2"/>
        <v>4150000.0000000005</v>
      </c>
      <c r="R18" s="373">
        <f t="shared" si="3"/>
        <v>0</v>
      </c>
      <c r="T18" s="372"/>
      <c r="U18" s="373"/>
      <c r="W18" s="372">
        <f t="shared" si="4"/>
        <v>4150000.0000000005</v>
      </c>
      <c r="X18" s="373">
        <f t="shared" si="5"/>
        <v>0</v>
      </c>
    </row>
    <row r="19" spans="1:31" ht="25.5" x14ac:dyDescent="0.2">
      <c r="A19" s="154" t="str">
        <f>'Functionalized Accounts'!B23</f>
        <v xml:space="preserve">Corporate Relations, Stakeholder Engagement and Innovation -  Stakeholder and Community Engagement </v>
      </c>
      <c r="B19" s="419" t="str">
        <f>'TB Allocation Details'!C20</f>
        <v>DOM</v>
      </c>
      <c r="C19" s="350">
        <f>'Functionalized Accounts'!D23</f>
        <v>6439999.9999999991</v>
      </c>
      <c r="E19" s="372">
        <f>C19</f>
        <v>6439999.9999999991</v>
      </c>
      <c r="F19" s="373"/>
      <c r="H19" s="372"/>
      <c r="I19" s="373"/>
      <c r="K19" s="372">
        <f t="shared" si="0"/>
        <v>6439999.9999999991</v>
      </c>
      <c r="L19" s="373">
        <f t="shared" si="1"/>
        <v>0</v>
      </c>
      <c r="N19" s="372"/>
      <c r="O19" s="373"/>
      <c r="Q19" s="372">
        <f t="shared" si="2"/>
        <v>6439999.9999999991</v>
      </c>
      <c r="R19" s="373">
        <f t="shared" si="3"/>
        <v>0</v>
      </c>
      <c r="T19" s="372"/>
      <c r="U19" s="373"/>
      <c r="W19" s="372">
        <f t="shared" si="4"/>
        <v>6439999.9999999991</v>
      </c>
      <c r="X19" s="373">
        <f t="shared" si="5"/>
        <v>0</v>
      </c>
    </row>
    <row r="20" spans="1:31" ht="25.5" x14ac:dyDescent="0.2">
      <c r="A20" s="154" t="str">
        <f>'Functionalized Accounts'!B24</f>
        <v xml:space="preserve">Corporate Relations, Stakeholder Engagement and Innovation -  Innovation, Research &amp; Development </v>
      </c>
      <c r="B20" s="419" t="str">
        <f>'TB Allocation Details'!C21</f>
        <v>DOM</v>
      </c>
      <c r="C20" s="350">
        <f>'Functionalized Accounts'!D24</f>
        <v>4720000</v>
      </c>
      <c r="E20" s="372">
        <f>C20</f>
        <v>4720000</v>
      </c>
      <c r="F20" s="373"/>
      <c r="H20" s="372"/>
      <c r="I20" s="373"/>
      <c r="K20" s="372">
        <f t="shared" si="0"/>
        <v>4720000</v>
      </c>
      <c r="L20" s="373">
        <f t="shared" si="1"/>
        <v>0</v>
      </c>
      <c r="N20" s="372"/>
      <c r="O20" s="373"/>
      <c r="Q20" s="372">
        <f t="shared" si="2"/>
        <v>4720000</v>
      </c>
      <c r="R20" s="373">
        <f t="shared" si="3"/>
        <v>0</v>
      </c>
      <c r="T20" s="372"/>
      <c r="U20" s="373"/>
      <c r="W20" s="372">
        <f t="shared" si="4"/>
        <v>4720000</v>
      </c>
      <c r="X20" s="373">
        <f t="shared" si="5"/>
        <v>0</v>
      </c>
    </row>
    <row r="21" spans="1:31" ht="12.75" x14ac:dyDescent="0.2">
      <c r="A21" s="154" t="str">
        <f>'Functionalized Accounts'!B25</f>
        <v>Information and Technology Services - VP Office</v>
      </c>
      <c r="B21" s="419" t="str">
        <f>'TB Allocation Details'!C22</f>
        <v>ITS</v>
      </c>
      <c r="C21" s="350">
        <f>'Functionalized Accounts'!D25</f>
        <v>900000</v>
      </c>
      <c r="E21" s="390"/>
      <c r="F21" s="391"/>
      <c r="H21" s="390"/>
      <c r="I21" s="391"/>
      <c r="K21" s="390">
        <f t="shared" si="0"/>
        <v>0</v>
      </c>
      <c r="L21" s="391">
        <f t="shared" si="1"/>
        <v>0</v>
      </c>
      <c r="N21" s="390"/>
      <c r="O21" s="391"/>
      <c r="Q21" s="390">
        <f t="shared" si="2"/>
        <v>0</v>
      </c>
      <c r="R21" s="391">
        <f t="shared" si="3"/>
        <v>0</v>
      </c>
      <c r="T21" s="390">
        <f>$C21*SUM(Q$22:Q$25)/SUM($C$22:$C$25)</f>
        <v>850077.86041720421</v>
      </c>
      <c r="U21" s="391">
        <f>$C21*SUM(R$22:R$25)/SUM($C$22:$C$25)</f>
        <v>49922.139582795797</v>
      </c>
      <c r="W21" s="390">
        <f t="shared" si="4"/>
        <v>850077.86041720421</v>
      </c>
      <c r="X21" s="391">
        <f t="shared" si="5"/>
        <v>49922.139582795797</v>
      </c>
      <c r="Y21" s="368"/>
      <c r="Z21" s="368"/>
      <c r="AA21" s="403"/>
      <c r="AB21" s="403"/>
    </row>
    <row r="22" spans="1:31" ht="25.5" x14ac:dyDescent="0.2">
      <c r="A22" s="154" t="str">
        <f>'Functionalized Accounts'!B26</f>
        <v>Information and Technology Services - CIO Office (Organizational Governance Support)</v>
      </c>
      <c r="B22" s="419" t="str">
        <f>'TB Allocation Details'!C23</f>
        <v>O&amp;A</v>
      </c>
      <c r="C22" s="350">
        <f>'Functionalized Accounts'!D26</f>
        <v>2200000</v>
      </c>
      <c r="E22" s="372"/>
      <c r="F22" s="373"/>
      <c r="H22" s="372"/>
      <c r="I22" s="373"/>
      <c r="K22" s="372">
        <f t="shared" si="0"/>
        <v>0</v>
      </c>
      <c r="L22" s="373">
        <f t="shared" si="1"/>
        <v>0</v>
      </c>
      <c r="N22" s="372">
        <f t="shared" ref="N22:O25" si="7">$C22*N$51</f>
        <v>2077968.1032420548</v>
      </c>
      <c r="O22" s="373">
        <f t="shared" si="7"/>
        <v>122031.89675794527</v>
      </c>
      <c r="Q22" s="372">
        <f>K22+N22</f>
        <v>2077968.1032420548</v>
      </c>
      <c r="R22" s="373">
        <f t="shared" si="3"/>
        <v>122031.89675794527</v>
      </c>
      <c r="T22" s="372"/>
      <c r="U22" s="373"/>
      <c r="W22" s="372">
        <f t="shared" si="4"/>
        <v>2077968.1032420548</v>
      </c>
      <c r="X22" s="373">
        <f t="shared" si="5"/>
        <v>122031.89675794527</v>
      </c>
      <c r="Y22" s="368"/>
      <c r="Z22" s="368"/>
      <c r="AA22" s="403"/>
      <c r="AB22" s="403"/>
      <c r="AC22" s="368"/>
      <c r="AD22" s="403"/>
      <c r="AE22" s="403"/>
    </row>
    <row r="23" spans="1:31" ht="12.75" x14ac:dyDescent="0.2">
      <c r="A23" s="154" t="str">
        <f>'Functionalized Accounts'!B27</f>
        <v>Information and Technology Services - Information Security</v>
      </c>
      <c r="B23" s="419" t="str">
        <f>'TB Allocation Details'!C24</f>
        <v>O&amp;A</v>
      </c>
      <c r="C23" s="350">
        <f>'Functionalized Accounts'!D27</f>
        <v>5600000</v>
      </c>
      <c r="E23" s="372"/>
      <c r="F23" s="373"/>
      <c r="H23" s="372"/>
      <c r="I23" s="373"/>
      <c r="K23" s="372">
        <f t="shared" si="0"/>
        <v>0</v>
      </c>
      <c r="L23" s="373">
        <f t="shared" si="1"/>
        <v>0</v>
      </c>
      <c r="N23" s="372">
        <f t="shared" si="7"/>
        <v>5289373.353707049</v>
      </c>
      <c r="O23" s="373">
        <f t="shared" si="7"/>
        <v>310626.6462929516</v>
      </c>
      <c r="Q23" s="372">
        <f t="shared" si="2"/>
        <v>5289373.353707049</v>
      </c>
      <c r="R23" s="373">
        <f t="shared" si="3"/>
        <v>310626.6462929516</v>
      </c>
      <c r="T23" s="372"/>
      <c r="U23" s="373"/>
      <c r="W23" s="372">
        <f t="shared" si="4"/>
        <v>5289373.353707049</v>
      </c>
      <c r="X23" s="373">
        <f t="shared" si="5"/>
        <v>310626.6462929516</v>
      </c>
      <c r="Y23" s="368"/>
      <c r="Z23" s="368"/>
      <c r="AA23" s="403"/>
      <c r="AB23" s="403"/>
    </row>
    <row r="24" spans="1:31" ht="12.75" x14ac:dyDescent="0.2">
      <c r="A24" s="154" t="str">
        <f>'Functionalized Accounts'!B28</f>
        <v>Information and Technology Services - Business Services &amp; Solution Delivery</v>
      </c>
      <c r="B24" s="419" t="str">
        <f>'TB Allocation Details'!C25</f>
        <v>O&amp;A</v>
      </c>
      <c r="C24" s="350">
        <f>'Functionalized Accounts'!D28</f>
        <v>19100000</v>
      </c>
      <c r="E24" s="372"/>
      <c r="F24" s="373"/>
      <c r="H24" s="372"/>
      <c r="I24" s="373"/>
      <c r="K24" s="372">
        <f t="shared" si="0"/>
        <v>0</v>
      </c>
      <c r="L24" s="373">
        <f t="shared" si="1"/>
        <v>0</v>
      </c>
      <c r="N24" s="372">
        <f t="shared" si="7"/>
        <v>18040541.259965114</v>
      </c>
      <c r="O24" s="373">
        <f t="shared" si="7"/>
        <v>1059458.7400348885</v>
      </c>
      <c r="Q24" s="372">
        <f t="shared" si="2"/>
        <v>18040541.259965114</v>
      </c>
      <c r="R24" s="373">
        <f t="shared" si="3"/>
        <v>1059458.7400348885</v>
      </c>
      <c r="T24" s="372"/>
      <c r="U24" s="373"/>
      <c r="W24" s="372">
        <f t="shared" si="4"/>
        <v>18040541.259965114</v>
      </c>
      <c r="X24" s="373">
        <f t="shared" si="5"/>
        <v>1059458.7400348885</v>
      </c>
      <c r="Y24" s="368"/>
      <c r="Z24" s="368"/>
      <c r="AA24" s="403"/>
      <c r="AB24" s="403"/>
    </row>
    <row r="25" spans="1:31" ht="25.5" x14ac:dyDescent="0.2">
      <c r="A25" s="154" t="str">
        <f>'Functionalized Accounts'!B29</f>
        <v>Information and Technology Services - IT Infrastructure &amp; Operations (Technology Services)</v>
      </c>
      <c r="B25" s="419" t="str">
        <f>'TB Allocation Details'!C26</f>
        <v>O&amp;A</v>
      </c>
      <c r="C25" s="350">
        <f>'Functionalized Accounts'!D29</f>
        <v>21600000</v>
      </c>
      <c r="E25" s="392"/>
      <c r="F25" s="393"/>
      <c r="H25" s="392"/>
      <c r="I25" s="393"/>
      <c r="K25" s="392">
        <f t="shared" si="0"/>
        <v>0</v>
      </c>
      <c r="L25" s="393">
        <f t="shared" si="1"/>
        <v>0</v>
      </c>
      <c r="N25" s="392">
        <f t="shared" si="7"/>
        <v>20401868.650012903</v>
      </c>
      <c r="O25" s="393">
        <f t="shared" si="7"/>
        <v>1198131.3499870992</v>
      </c>
      <c r="Q25" s="392">
        <f t="shared" si="2"/>
        <v>20401868.650012903</v>
      </c>
      <c r="R25" s="393">
        <f t="shared" si="3"/>
        <v>1198131.3499870992</v>
      </c>
      <c r="T25" s="392"/>
      <c r="U25" s="393"/>
      <c r="W25" s="392">
        <f t="shared" si="4"/>
        <v>20401868.650012903</v>
      </c>
      <c r="X25" s="393">
        <f t="shared" si="5"/>
        <v>1198131.3499870992</v>
      </c>
      <c r="Y25" s="368"/>
      <c r="Z25" s="368"/>
      <c r="AA25" s="403"/>
      <c r="AB25" s="403"/>
    </row>
    <row r="26" spans="1:31" ht="12.75" x14ac:dyDescent="0.2">
      <c r="A26" s="154" t="str">
        <f>'Functionalized Accounts'!B30</f>
        <v xml:space="preserve">Legal Resources and Corporate Governance -  VP Office </v>
      </c>
      <c r="B26" s="419" t="str">
        <f>'TB Allocation Details'!C27</f>
        <v>LRCG</v>
      </c>
      <c r="C26" s="350">
        <f>'Functionalized Accounts'!D30</f>
        <v>1500000.0000000002</v>
      </c>
      <c r="E26" s="372"/>
      <c r="F26" s="373"/>
      <c r="H26" s="372">
        <f>$C26*SUM(E$27:E$30)/SUM($C$27:$C$30)</f>
        <v>1403536.6319902418</v>
      </c>
      <c r="I26" s="373">
        <f>$C26*SUM(F$27:F$30)/SUM($C$27:$C$30)</f>
        <v>96463.368009758575</v>
      </c>
      <c r="K26" s="372">
        <f t="shared" si="0"/>
        <v>1403536.6319902418</v>
      </c>
      <c r="L26" s="373">
        <f t="shared" si="1"/>
        <v>96463.368009758575</v>
      </c>
      <c r="N26" s="372"/>
      <c r="O26" s="373"/>
      <c r="Q26" s="372">
        <f t="shared" si="2"/>
        <v>1403536.6319902418</v>
      </c>
      <c r="R26" s="373">
        <f t="shared" si="3"/>
        <v>96463.368009758575</v>
      </c>
      <c r="T26" s="372"/>
      <c r="U26" s="373"/>
      <c r="W26" s="372">
        <f t="shared" si="4"/>
        <v>1403536.6319902418</v>
      </c>
      <c r="X26" s="373">
        <f t="shared" si="5"/>
        <v>96463.368009758575</v>
      </c>
      <c r="Y26" s="368"/>
      <c r="Z26" s="368"/>
      <c r="AA26" s="403"/>
      <c r="AB26" s="403"/>
    </row>
    <row r="27" spans="1:31" ht="12.75" x14ac:dyDescent="0.2">
      <c r="A27" s="154" t="str">
        <f>'Functionalized Accounts'!B31</f>
        <v xml:space="preserve">Legal Resources and Corporate Governance -  General Counsel </v>
      </c>
      <c r="B27" s="419" t="str">
        <f>'TB Allocation Details'!C28</f>
        <v>TWh</v>
      </c>
      <c r="C27" s="350">
        <f>'Functionalized Accounts'!D31</f>
        <v>11100000.000000004</v>
      </c>
      <c r="E27" s="372">
        <f t="shared" ref="E27:F30" si="8">$C27*E$50</f>
        <v>10386171.076727791</v>
      </c>
      <c r="F27" s="373">
        <f t="shared" si="8"/>
        <v>713828.92327221355</v>
      </c>
      <c r="H27" s="372"/>
      <c r="I27" s="373"/>
      <c r="K27" s="372">
        <f t="shared" si="0"/>
        <v>10386171.076727791</v>
      </c>
      <c r="L27" s="373">
        <f t="shared" si="1"/>
        <v>713828.92327221355</v>
      </c>
      <c r="N27" s="372"/>
      <c r="O27" s="373"/>
      <c r="Q27" s="372">
        <f t="shared" si="2"/>
        <v>10386171.076727791</v>
      </c>
      <c r="R27" s="373">
        <f t="shared" si="3"/>
        <v>713828.92327221355</v>
      </c>
      <c r="T27" s="372"/>
      <c r="U27" s="373"/>
      <c r="W27" s="372">
        <f t="shared" si="4"/>
        <v>10386171.076727791</v>
      </c>
      <c r="X27" s="373">
        <f t="shared" si="5"/>
        <v>713828.92327221355</v>
      </c>
      <c r="Y27" s="368"/>
      <c r="Z27" s="368"/>
      <c r="AA27" s="403"/>
      <c r="AB27" s="403"/>
      <c r="AC27" s="368"/>
      <c r="AD27" s="403"/>
      <c r="AE27" s="403"/>
    </row>
    <row r="28" spans="1:31" ht="25.5" x14ac:dyDescent="0.2">
      <c r="A28" s="154" t="str">
        <f>'Functionalized Accounts'!B32</f>
        <v xml:space="preserve">Legal Resources and Corporate Governance -  Market Rules and Regulatory Affairs </v>
      </c>
      <c r="B28" s="419" t="str">
        <f>'TB Allocation Details'!C29</f>
        <v>TWh</v>
      </c>
      <c r="C28" s="350">
        <f>'Functionalized Accounts'!D32</f>
        <v>2900000.0000000005</v>
      </c>
      <c r="E28" s="372">
        <f t="shared" si="8"/>
        <v>2713504.1551811341</v>
      </c>
      <c r="F28" s="373">
        <f t="shared" si="8"/>
        <v>186495.84481886658</v>
      </c>
      <c r="H28" s="372"/>
      <c r="I28" s="373"/>
      <c r="K28" s="372">
        <f t="shared" si="0"/>
        <v>2713504.1551811341</v>
      </c>
      <c r="L28" s="373">
        <f t="shared" si="1"/>
        <v>186495.84481886658</v>
      </c>
      <c r="N28" s="372"/>
      <c r="O28" s="373"/>
      <c r="Q28" s="372">
        <f t="shared" si="2"/>
        <v>2713504.1551811341</v>
      </c>
      <c r="R28" s="373">
        <f t="shared" si="3"/>
        <v>186495.84481886658</v>
      </c>
      <c r="T28" s="372"/>
      <c r="U28" s="373"/>
      <c r="W28" s="372">
        <f t="shared" si="4"/>
        <v>2713504.1551811341</v>
      </c>
      <c r="X28" s="373">
        <f t="shared" si="5"/>
        <v>186495.84481886658</v>
      </c>
      <c r="Y28" s="368"/>
      <c r="Z28" s="368"/>
      <c r="AA28" s="403"/>
      <c r="AB28" s="403"/>
    </row>
    <row r="29" spans="1:31" ht="12.75" x14ac:dyDescent="0.2">
      <c r="A29" s="154" t="str">
        <f>'Functionalized Accounts'!B33</f>
        <v xml:space="preserve">Legal Resources and Corporate Governance -  OEB Assessment Fees </v>
      </c>
      <c r="B29" s="419" t="str">
        <f>'TB Allocation Details'!C30</f>
        <v>TWh</v>
      </c>
      <c r="C29" s="350">
        <f>'Functionalized Accounts'!D33</f>
        <v>600000.00000000012</v>
      </c>
      <c r="E29" s="372">
        <f t="shared" si="8"/>
        <v>561414.65279609675</v>
      </c>
      <c r="F29" s="373">
        <f t="shared" si="8"/>
        <v>38585.347203903431</v>
      </c>
      <c r="H29" s="372"/>
      <c r="I29" s="373"/>
      <c r="K29" s="372">
        <f t="shared" si="0"/>
        <v>561414.65279609675</v>
      </c>
      <c r="L29" s="373">
        <f t="shared" si="1"/>
        <v>38585.347203903431</v>
      </c>
      <c r="N29" s="372"/>
      <c r="O29" s="373"/>
      <c r="Q29" s="372">
        <f t="shared" si="2"/>
        <v>561414.65279609675</v>
      </c>
      <c r="R29" s="373">
        <f t="shared" si="3"/>
        <v>38585.347203903431</v>
      </c>
      <c r="T29" s="372"/>
      <c r="U29" s="373"/>
      <c r="W29" s="372">
        <f t="shared" si="4"/>
        <v>561414.65279609675</v>
      </c>
      <c r="X29" s="373">
        <f t="shared" si="5"/>
        <v>38585.347203903431</v>
      </c>
      <c r="Y29" s="368"/>
      <c r="Z29" s="368"/>
      <c r="AA29" s="403"/>
      <c r="AB29" s="403"/>
    </row>
    <row r="30" spans="1:31" ht="12.75" x14ac:dyDescent="0.2">
      <c r="A30" s="154" t="str">
        <f>'Functionalized Accounts'!B34</f>
        <v xml:space="preserve">Legal Resources and Corporate Governance -  Board </v>
      </c>
      <c r="B30" s="419" t="str">
        <f>'TB Allocation Details'!C31</f>
        <v>TWh</v>
      </c>
      <c r="C30" s="350">
        <f>'Functionalized Accounts'!D34</f>
        <v>800000.00000000023</v>
      </c>
      <c r="E30" s="372">
        <f t="shared" si="8"/>
        <v>748552.87039479567</v>
      </c>
      <c r="F30" s="373">
        <f t="shared" si="8"/>
        <v>51447.12960520458</v>
      </c>
      <c r="H30" s="372"/>
      <c r="I30" s="373"/>
      <c r="K30" s="372">
        <f t="shared" ref="K30" si="9">E30+H30</f>
        <v>748552.87039479567</v>
      </c>
      <c r="L30" s="373">
        <f t="shared" ref="L30" si="10">F30+I30</f>
        <v>51447.12960520458</v>
      </c>
      <c r="N30" s="372"/>
      <c r="O30" s="373"/>
      <c r="Q30" s="372">
        <f t="shared" ref="Q30" si="11">K30+N30</f>
        <v>748552.87039479567</v>
      </c>
      <c r="R30" s="373">
        <f t="shared" ref="R30" si="12">L30+O30</f>
        <v>51447.12960520458</v>
      </c>
      <c r="T30" s="372"/>
      <c r="U30" s="373"/>
      <c r="W30" s="372">
        <f t="shared" ref="W30" si="13">Q30+T30</f>
        <v>748552.87039479567</v>
      </c>
      <c r="X30" s="373">
        <f t="shared" ref="X30" si="14">R30+U30</f>
        <v>51447.12960520458</v>
      </c>
      <c r="Y30" s="368"/>
      <c r="Z30" s="368"/>
      <c r="AA30" s="403"/>
      <c r="AB30" s="403"/>
    </row>
    <row r="31" spans="1:31" ht="12.75" x14ac:dyDescent="0.2">
      <c r="A31" s="154" t="str">
        <f>'Functionalized Accounts'!B35</f>
        <v xml:space="preserve">Legal Resources and Corporate Governance -  NERC and NPCC Membership </v>
      </c>
      <c r="B31" s="419" t="str">
        <f>'TB Allocation Details'!C32</f>
        <v>HALF</v>
      </c>
      <c r="C31" s="350">
        <f>'Functionalized Accounts'!D35</f>
        <v>5300000.0000000009</v>
      </c>
      <c r="E31" s="372">
        <f>C31*0.5</f>
        <v>2650000.0000000005</v>
      </c>
      <c r="F31" s="373">
        <f>C31*0.5</f>
        <v>2650000.0000000005</v>
      </c>
      <c r="H31" s="372"/>
      <c r="I31" s="373"/>
      <c r="K31" s="372">
        <f t="shared" si="0"/>
        <v>2650000.0000000005</v>
      </c>
      <c r="L31" s="373">
        <f t="shared" si="1"/>
        <v>2650000.0000000005</v>
      </c>
      <c r="N31" s="372"/>
      <c r="O31" s="373"/>
      <c r="Q31" s="372">
        <f t="shared" si="2"/>
        <v>2650000.0000000005</v>
      </c>
      <c r="R31" s="373">
        <f t="shared" si="3"/>
        <v>2650000.0000000005</v>
      </c>
      <c r="T31" s="372"/>
      <c r="U31" s="373"/>
      <c r="W31" s="372">
        <f t="shared" si="4"/>
        <v>2650000.0000000005</v>
      </c>
      <c r="X31" s="373">
        <f t="shared" si="5"/>
        <v>2650000.0000000005</v>
      </c>
      <c r="Y31" s="368"/>
      <c r="Z31" s="368"/>
      <c r="AA31" s="403"/>
      <c r="AB31" s="403"/>
    </row>
    <row r="32" spans="1:31" ht="12.75" x14ac:dyDescent="0.2">
      <c r="A32" s="154" t="str">
        <f>'Functionalized Accounts'!B36</f>
        <v xml:space="preserve">Legal Resources and Corporate Governance -  Contract Management </v>
      </c>
      <c r="B32" s="419" t="str">
        <f>'TB Allocation Details'!C33</f>
        <v>DOM</v>
      </c>
      <c r="C32" s="350">
        <f>'Functionalized Accounts'!D36</f>
        <v>8740000.0000000019</v>
      </c>
      <c r="E32" s="372">
        <f>C32</f>
        <v>8740000.0000000019</v>
      </c>
      <c r="F32" s="373"/>
      <c r="H32" s="372"/>
      <c r="I32" s="373"/>
      <c r="K32" s="372">
        <f t="shared" si="0"/>
        <v>8740000.0000000019</v>
      </c>
      <c r="L32" s="373">
        <f t="shared" si="1"/>
        <v>0</v>
      </c>
      <c r="N32" s="372"/>
      <c r="O32" s="373"/>
      <c r="Q32" s="372">
        <f t="shared" si="2"/>
        <v>8740000.0000000019</v>
      </c>
      <c r="R32" s="373">
        <f t="shared" si="3"/>
        <v>0</v>
      </c>
      <c r="T32" s="372"/>
      <c r="U32" s="373"/>
      <c r="W32" s="372">
        <f t="shared" ref="W32:W48" si="15">Q32+T32</f>
        <v>8740000.0000000019</v>
      </c>
      <c r="X32" s="373">
        <f t="shared" ref="X32:X48" si="16">R32+U32</f>
        <v>0</v>
      </c>
      <c r="Y32" s="368"/>
      <c r="Z32" s="368"/>
      <c r="AA32" s="403"/>
      <c r="AB32" s="403"/>
      <c r="AC32" s="368"/>
      <c r="AD32" s="403"/>
      <c r="AE32" s="403"/>
    </row>
    <row r="33" spans="1:31" ht="25.5" x14ac:dyDescent="0.2">
      <c r="A33" s="154" t="str">
        <f>'Functionalized Accounts'!B37</f>
        <v xml:space="preserve">Market Assessment and Compliance Division -  Market Assessment and Compliance Division </v>
      </c>
      <c r="B33" s="419" t="str">
        <f>'TB Allocation Details'!C34</f>
        <v>TWh</v>
      </c>
      <c r="C33" s="350">
        <f>'Functionalized Accounts'!D37</f>
        <v>1800000</v>
      </c>
      <c r="E33" s="390">
        <f t="shared" ref="E33:F34" si="17">$C33*E$50</f>
        <v>1684243.9583882897</v>
      </c>
      <c r="F33" s="391">
        <f t="shared" si="17"/>
        <v>115756.04161171027</v>
      </c>
      <c r="H33" s="390"/>
      <c r="I33" s="391"/>
      <c r="K33" s="390">
        <f t="shared" si="0"/>
        <v>1684243.9583882897</v>
      </c>
      <c r="L33" s="391">
        <f t="shared" si="1"/>
        <v>115756.04161171027</v>
      </c>
      <c r="N33" s="390"/>
      <c r="O33" s="391"/>
      <c r="Q33" s="390">
        <f t="shared" si="2"/>
        <v>1684243.9583882897</v>
      </c>
      <c r="R33" s="391">
        <f t="shared" si="3"/>
        <v>115756.04161171027</v>
      </c>
      <c r="T33" s="390"/>
      <c r="U33" s="391"/>
      <c r="W33" s="390">
        <f t="shared" si="15"/>
        <v>1684243.9583882897</v>
      </c>
      <c r="X33" s="391">
        <f t="shared" si="16"/>
        <v>115756.04161171027</v>
      </c>
      <c r="Y33" s="368"/>
      <c r="Z33" s="368"/>
      <c r="AA33" s="403"/>
      <c r="AB33" s="403"/>
    </row>
    <row r="34" spans="1:31" ht="12.75" x14ac:dyDescent="0.2">
      <c r="A34" s="154" t="str">
        <f>'Functionalized Accounts'!B38</f>
        <v xml:space="preserve">Market Assessment and Compliance Division - Regulatory Fees </v>
      </c>
      <c r="B34" s="419" t="str">
        <f>'TB Allocation Details'!C35</f>
        <v>TWh</v>
      </c>
      <c r="C34" s="350">
        <f>'Functionalized Accounts'!D38</f>
        <v>700000</v>
      </c>
      <c r="E34" s="392">
        <f t="shared" si="17"/>
        <v>654983.76159544603</v>
      </c>
      <c r="F34" s="393">
        <f t="shared" si="17"/>
        <v>45016.238404553995</v>
      </c>
      <c r="H34" s="392"/>
      <c r="I34" s="393"/>
      <c r="K34" s="392">
        <f t="shared" si="0"/>
        <v>654983.76159544603</v>
      </c>
      <c r="L34" s="393">
        <f t="shared" si="1"/>
        <v>45016.238404553995</v>
      </c>
      <c r="N34" s="392"/>
      <c r="O34" s="393"/>
      <c r="Q34" s="392">
        <f t="shared" si="2"/>
        <v>654983.76159544603</v>
      </c>
      <c r="R34" s="393">
        <f t="shared" si="3"/>
        <v>45016.238404553995</v>
      </c>
      <c r="T34" s="392"/>
      <c r="U34" s="393"/>
      <c r="W34" s="392">
        <f t="shared" si="15"/>
        <v>654983.76159544603</v>
      </c>
      <c r="X34" s="393">
        <f t="shared" si="16"/>
        <v>45016.238404553995</v>
      </c>
      <c r="Y34" s="368"/>
      <c r="Z34" s="368"/>
      <c r="AA34" s="403"/>
      <c r="AB34" s="403"/>
    </row>
    <row r="35" spans="1:31" ht="12.75" x14ac:dyDescent="0.2">
      <c r="A35" s="154" t="str">
        <f>'Functionalized Accounts'!B39</f>
        <v>Corporate Services - VP Office</v>
      </c>
      <c r="B35" s="419" t="str">
        <f>'TB Allocation Details'!C36</f>
        <v>CS</v>
      </c>
      <c r="C35" s="350">
        <f>'Functionalized Accounts'!D39</f>
        <v>600000</v>
      </c>
      <c r="E35" s="372"/>
      <c r="F35" s="373"/>
      <c r="H35" s="372"/>
      <c r="I35" s="373"/>
      <c r="K35" s="372">
        <f t="shared" si="0"/>
        <v>0</v>
      </c>
      <c r="L35" s="373">
        <f t="shared" si="1"/>
        <v>0</v>
      </c>
      <c r="N35" s="372"/>
      <c r="O35" s="373"/>
      <c r="Q35" s="372">
        <f t="shared" si="2"/>
        <v>0</v>
      </c>
      <c r="R35" s="373">
        <f t="shared" si="3"/>
        <v>0</v>
      </c>
      <c r="T35" s="372">
        <f>$C35*SUM(Q$36:Q$41)/SUM($C$36:$C$41)</f>
        <v>565661.37317867565</v>
      </c>
      <c r="U35" s="373">
        <f>$C35*SUM(R$36:R$41)/SUM($C$36:$C$41)</f>
        <v>34338.626821324455</v>
      </c>
      <c r="W35" s="372">
        <f t="shared" si="15"/>
        <v>565661.37317867565</v>
      </c>
      <c r="X35" s="373">
        <f t="shared" si="16"/>
        <v>34338.626821324455</v>
      </c>
      <c r="Y35" s="368"/>
      <c r="Z35" s="368"/>
      <c r="AA35" s="403"/>
      <c r="AB35" s="403"/>
    </row>
    <row r="36" spans="1:31" ht="12.75" x14ac:dyDescent="0.2">
      <c r="A36" s="154" t="str">
        <f>'Functionalized Accounts'!B40</f>
        <v>Corporate Services - Corporate Finance</v>
      </c>
      <c r="B36" s="419" t="str">
        <f>'TB Allocation Details'!C37</f>
        <v>O&amp;A</v>
      </c>
      <c r="C36" s="350">
        <f>'Functionalized Accounts'!D40</f>
        <v>5900000</v>
      </c>
      <c r="E36" s="372"/>
      <c r="F36" s="373"/>
      <c r="H36" s="372"/>
      <c r="I36" s="373"/>
      <c r="K36" s="372">
        <f t="shared" si="0"/>
        <v>0</v>
      </c>
      <c r="L36" s="373">
        <f t="shared" si="1"/>
        <v>0</v>
      </c>
      <c r="N36" s="372">
        <f t="shared" ref="N36:O38" si="18">$C36*N$51</f>
        <v>5572732.6405127831</v>
      </c>
      <c r="O36" s="373">
        <f t="shared" si="18"/>
        <v>327267.35948721686</v>
      </c>
      <c r="Q36" s="372">
        <f t="shared" si="2"/>
        <v>5572732.6405127831</v>
      </c>
      <c r="R36" s="373">
        <f t="shared" si="3"/>
        <v>327267.35948721686</v>
      </c>
      <c r="T36" s="372"/>
      <c r="U36" s="373"/>
      <c r="W36" s="372">
        <f t="shared" si="15"/>
        <v>5572732.6405127831</v>
      </c>
      <c r="X36" s="373">
        <f t="shared" si="16"/>
        <v>327267.35948721686</v>
      </c>
      <c r="Y36" s="368"/>
      <c r="Z36" s="368"/>
      <c r="AA36" s="403"/>
      <c r="AB36" s="403"/>
    </row>
    <row r="37" spans="1:31" ht="12.75" x14ac:dyDescent="0.2">
      <c r="A37" s="154" t="str">
        <f>'Functionalized Accounts'!B41</f>
        <v>Corporate Services - Procurement</v>
      </c>
      <c r="B37" s="419" t="str">
        <f>'TB Allocation Details'!C38</f>
        <v>O&amp;A</v>
      </c>
      <c r="C37" s="350">
        <f>'Functionalized Accounts'!D41</f>
        <v>1800000</v>
      </c>
      <c r="E37" s="372"/>
      <c r="F37" s="373"/>
      <c r="H37" s="372"/>
      <c r="I37" s="373"/>
      <c r="K37" s="372">
        <f t="shared" si="0"/>
        <v>0</v>
      </c>
      <c r="L37" s="373">
        <f t="shared" si="1"/>
        <v>0</v>
      </c>
      <c r="N37" s="372">
        <f t="shared" si="18"/>
        <v>1700155.7208344084</v>
      </c>
      <c r="O37" s="373">
        <f t="shared" si="18"/>
        <v>99844.279165591593</v>
      </c>
      <c r="Q37" s="372">
        <f t="shared" si="2"/>
        <v>1700155.7208344084</v>
      </c>
      <c r="R37" s="373">
        <f t="shared" si="3"/>
        <v>99844.279165591593</v>
      </c>
      <c r="T37" s="372"/>
      <c r="U37" s="373"/>
      <c r="W37" s="372">
        <f t="shared" si="15"/>
        <v>1700155.7208344084</v>
      </c>
      <c r="X37" s="373">
        <f t="shared" si="16"/>
        <v>99844.279165591593</v>
      </c>
      <c r="Y37" s="368"/>
      <c r="Z37" s="368"/>
      <c r="AA37" s="403"/>
      <c r="AB37" s="403"/>
    </row>
    <row r="38" spans="1:31" ht="12.75" x14ac:dyDescent="0.2">
      <c r="A38" s="154" t="str">
        <f>'Functionalized Accounts'!B42</f>
        <v>Corporate Services - Risk, Performance &amp; Reliance and Internal Audit</v>
      </c>
      <c r="B38" s="419" t="str">
        <f>'TB Allocation Details'!C39</f>
        <v>O&amp;A</v>
      </c>
      <c r="C38" s="350">
        <f>'Functionalized Accounts'!D42</f>
        <v>2300000</v>
      </c>
      <c r="E38" s="372"/>
      <c r="F38" s="373"/>
      <c r="H38" s="372"/>
      <c r="I38" s="373"/>
      <c r="K38" s="372">
        <f t="shared" si="0"/>
        <v>0</v>
      </c>
      <c r="L38" s="373">
        <f t="shared" si="1"/>
        <v>0</v>
      </c>
      <c r="N38" s="372">
        <f t="shared" si="18"/>
        <v>2172421.1988439662</v>
      </c>
      <c r="O38" s="373">
        <f t="shared" si="18"/>
        <v>127578.8011560337</v>
      </c>
      <c r="Q38" s="372">
        <f t="shared" si="2"/>
        <v>2172421.1988439662</v>
      </c>
      <c r="R38" s="373">
        <f t="shared" si="3"/>
        <v>127578.8011560337</v>
      </c>
      <c r="T38" s="372"/>
      <c r="U38" s="373"/>
      <c r="W38" s="372">
        <f t="shared" si="15"/>
        <v>2172421.1988439662</v>
      </c>
      <c r="X38" s="373">
        <f t="shared" si="16"/>
        <v>127578.8011560337</v>
      </c>
      <c r="Y38" s="368"/>
      <c r="Z38" s="368"/>
      <c r="AA38" s="403"/>
      <c r="AB38" s="403"/>
    </row>
    <row r="39" spans="1:31" ht="12.75" x14ac:dyDescent="0.2">
      <c r="A39" s="154" t="str">
        <f>'Functionalized Accounts'!B43</f>
        <v>Corporate Services - Settlements</v>
      </c>
      <c r="B39" s="419" t="str">
        <f>'TB Allocation Details'!C40</f>
        <v>TWh</v>
      </c>
      <c r="C39" s="350">
        <f>'Functionalized Accounts'!D43</f>
        <v>5900000</v>
      </c>
      <c r="E39" s="372">
        <f t="shared" ref="E39:F39" si="19">$C39*E$50</f>
        <v>5520577.4191616168</v>
      </c>
      <c r="F39" s="373">
        <f t="shared" si="19"/>
        <v>379422.5808383837</v>
      </c>
      <c r="H39" s="372"/>
      <c r="I39" s="373"/>
      <c r="K39" s="372">
        <f>E39+H39</f>
        <v>5520577.4191616168</v>
      </c>
      <c r="L39" s="373">
        <f t="shared" si="1"/>
        <v>379422.5808383837</v>
      </c>
      <c r="N39" s="372"/>
      <c r="O39" s="373"/>
      <c r="Q39" s="372">
        <f>K39+N39</f>
        <v>5520577.4191616168</v>
      </c>
      <c r="R39" s="373">
        <f t="shared" si="3"/>
        <v>379422.5808383837</v>
      </c>
      <c r="T39" s="372"/>
      <c r="U39" s="373"/>
      <c r="W39" s="372">
        <f t="shared" si="15"/>
        <v>5520577.4191616168</v>
      </c>
      <c r="X39" s="373">
        <f t="shared" si="16"/>
        <v>379422.5808383837</v>
      </c>
      <c r="Y39" s="368"/>
      <c r="Z39" s="368"/>
      <c r="AA39" s="403"/>
      <c r="AB39" s="403"/>
      <c r="AC39" s="368"/>
      <c r="AD39" s="403"/>
      <c r="AE39" s="403"/>
    </row>
    <row r="40" spans="1:31" ht="12.75" x14ac:dyDescent="0.2">
      <c r="A40" s="154" t="str">
        <f>'Functionalized Accounts'!B44</f>
        <v>Corporate Services - Facilities</v>
      </c>
      <c r="B40" s="419" t="str">
        <f>'TB Allocation Details'!C41</f>
        <v>O&amp;A</v>
      </c>
      <c r="C40" s="350">
        <f>'Functionalized Accounts'!D44</f>
        <v>10200000</v>
      </c>
      <c r="E40" s="372"/>
      <c r="F40" s="373"/>
      <c r="H40" s="372"/>
      <c r="I40" s="373"/>
      <c r="K40" s="372">
        <f t="shared" si="0"/>
        <v>0</v>
      </c>
      <c r="L40" s="373">
        <f t="shared" si="1"/>
        <v>0</v>
      </c>
      <c r="N40" s="372">
        <f t="shared" ref="N40:O43" si="20">$C40*N$51</f>
        <v>9634215.7513949815</v>
      </c>
      <c r="O40" s="373">
        <f t="shared" si="20"/>
        <v>565784.24860501906</v>
      </c>
      <c r="Q40" s="372">
        <f t="shared" si="2"/>
        <v>9634215.7513949815</v>
      </c>
      <c r="R40" s="373">
        <f t="shared" si="3"/>
        <v>565784.24860501906</v>
      </c>
      <c r="T40" s="372"/>
      <c r="U40" s="373"/>
      <c r="W40" s="372">
        <f t="shared" si="15"/>
        <v>9634215.7513949815</v>
      </c>
      <c r="X40" s="373">
        <f t="shared" si="16"/>
        <v>565784.24860501906</v>
      </c>
      <c r="Y40" s="368"/>
      <c r="Z40" s="368"/>
      <c r="AA40" s="403"/>
      <c r="AB40" s="403"/>
      <c r="AC40" s="368"/>
      <c r="AD40" s="403"/>
      <c r="AE40" s="403"/>
    </row>
    <row r="41" spans="1:31" ht="13.5" customHeight="1" x14ac:dyDescent="0.2">
      <c r="A41" s="154" t="str">
        <f>'Functionalized Accounts'!B45</f>
        <v>Corporate Services - Enterprise Change</v>
      </c>
      <c r="B41" s="419" t="str">
        <f>'TB Allocation Details'!C42</f>
        <v>O&amp;A</v>
      </c>
      <c r="C41" s="350">
        <f>'Functionalized Accounts'!D45</f>
        <v>3500000</v>
      </c>
      <c r="E41" s="372"/>
      <c r="F41" s="373"/>
      <c r="H41" s="372"/>
      <c r="I41" s="373"/>
      <c r="K41" s="372">
        <f t="shared" si="0"/>
        <v>0</v>
      </c>
      <c r="L41" s="373">
        <f t="shared" si="1"/>
        <v>0</v>
      </c>
      <c r="N41" s="372">
        <f t="shared" si="20"/>
        <v>3305858.3460669057</v>
      </c>
      <c r="O41" s="373">
        <f t="shared" si="20"/>
        <v>194141.65393309476</v>
      </c>
      <c r="Q41" s="372">
        <f t="shared" si="2"/>
        <v>3305858.3460669057</v>
      </c>
      <c r="R41" s="373">
        <f t="shared" si="3"/>
        <v>194141.65393309476</v>
      </c>
      <c r="T41" s="372"/>
      <c r="U41" s="373"/>
      <c r="W41" s="372">
        <f t="shared" si="15"/>
        <v>3305858.3460669057</v>
      </c>
      <c r="X41" s="373">
        <f t="shared" si="16"/>
        <v>194141.65393309476</v>
      </c>
      <c r="Y41" s="368"/>
      <c r="Z41" s="368"/>
      <c r="AA41" s="403"/>
      <c r="AB41" s="403"/>
      <c r="AC41" s="368"/>
      <c r="AD41" s="403"/>
      <c r="AE41" s="403"/>
    </row>
    <row r="42" spans="1:31" ht="13.5" customHeight="1" x14ac:dyDescent="0.2">
      <c r="A42" s="154" t="str">
        <f>'Functionalized Accounts'!B46</f>
        <v>Human Resources</v>
      </c>
      <c r="B42" s="419" t="str">
        <f>'TB Allocation Details'!C43</f>
        <v>O&amp;A</v>
      </c>
      <c r="C42" s="350">
        <f>'Functionalized Accounts'!D46</f>
        <v>6400000</v>
      </c>
      <c r="E42" s="390"/>
      <c r="F42" s="391"/>
      <c r="H42" s="390"/>
      <c r="I42" s="391"/>
      <c r="K42" s="390">
        <f t="shared" si="0"/>
        <v>0</v>
      </c>
      <c r="L42" s="391">
        <f t="shared" si="1"/>
        <v>0</v>
      </c>
      <c r="N42" s="390">
        <f t="shared" si="20"/>
        <v>6044998.1185223414</v>
      </c>
      <c r="O42" s="391">
        <f t="shared" si="20"/>
        <v>355001.88147765899</v>
      </c>
      <c r="Q42" s="390">
        <f t="shared" si="2"/>
        <v>6044998.1185223414</v>
      </c>
      <c r="R42" s="391">
        <f t="shared" si="3"/>
        <v>355001.88147765899</v>
      </c>
      <c r="T42" s="390"/>
      <c r="U42" s="391"/>
      <c r="W42" s="390">
        <f t="shared" si="15"/>
        <v>6044998.1185223414</v>
      </c>
      <c r="X42" s="391">
        <f t="shared" si="16"/>
        <v>355001.88147765899</v>
      </c>
      <c r="Y42" s="368"/>
      <c r="Z42" s="368"/>
      <c r="AA42" s="403"/>
      <c r="AB42" s="403"/>
      <c r="AC42" s="368"/>
      <c r="AD42" s="403"/>
      <c r="AE42" s="403"/>
    </row>
    <row r="43" spans="1:31" ht="13.5" customHeight="1" x14ac:dyDescent="0.2">
      <c r="A43" s="154" t="str">
        <f>'Functionalized Accounts'!B47</f>
        <v>Corporate Adjustment - General</v>
      </c>
      <c r="B43" s="419" t="str">
        <f>'TB Allocation Details'!C44</f>
        <v>O&amp;A</v>
      </c>
      <c r="C43" s="350">
        <f>'Functionalized Accounts'!D47</f>
        <v>600000</v>
      </c>
      <c r="E43" s="372"/>
      <c r="F43" s="373"/>
      <c r="H43" s="372"/>
      <c r="I43" s="373"/>
      <c r="K43" s="372">
        <f t="shared" ref="K43:K44" si="21">E43+H43</f>
        <v>0</v>
      </c>
      <c r="L43" s="373">
        <f t="shared" ref="L43:L44" si="22">F43+I43</f>
        <v>0</v>
      </c>
      <c r="N43" s="372">
        <f t="shared" si="20"/>
        <v>566718.57361146947</v>
      </c>
      <c r="O43" s="373">
        <f t="shared" si="20"/>
        <v>33281.426388530534</v>
      </c>
      <c r="Q43" s="372">
        <f t="shared" ref="Q43:Q44" si="23">K43+N43</f>
        <v>566718.57361146947</v>
      </c>
      <c r="R43" s="373">
        <f t="shared" ref="R43:R44" si="24">L43+O43</f>
        <v>33281.426388530534</v>
      </c>
      <c r="T43" s="372"/>
      <c r="U43" s="373"/>
      <c r="W43" s="372">
        <f t="shared" ref="W43:W44" si="25">Q43+T43</f>
        <v>566718.57361146947</v>
      </c>
      <c r="X43" s="373">
        <f t="shared" ref="X43:X44" si="26">R43+U43</f>
        <v>33281.426388530534</v>
      </c>
      <c r="Y43" s="368"/>
      <c r="Z43" s="368"/>
      <c r="AA43" s="403"/>
      <c r="AB43" s="403"/>
      <c r="AC43" s="368"/>
      <c r="AD43" s="403"/>
      <c r="AE43" s="403"/>
    </row>
    <row r="44" spans="1:31" ht="13.5" customHeight="1" x14ac:dyDescent="0.2">
      <c r="A44" s="154" t="str">
        <f>'Functionalized Accounts'!B48</f>
        <v>Market Renewal</v>
      </c>
      <c r="B44" s="419" t="str">
        <f>'TB Allocation Details'!C45</f>
        <v>TWh</v>
      </c>
      <c r="C44" s="350">
        <f>'Functionalized Accounts'!D48</f>
        <v>4400000</v>
      </c>
      <c r="E44" s="392">
        <f t="shared" ref="E44:F44" si="27">$C44*E$50</f>
        <v>4117040.787171375</v>
      </c>
      <c r="F44" s="393">
        <f t="shared" si="27"/>
        <v>282959.21282862511</v>
      </c>
      <c r="H44" s="392"/>
      <c r="I44" s="393"/>
      <c r="K44" s="392">
        <f t="shared" si="21"/>
        <v>4117040.787171375</v>
      </c>
      <c r="L44" s="393">
        <f t="shared" si="22"/>
        <v>282959.21282862511</v>
      </c>
      <c r="N44" s="392"/>
      <c r="O44" s="393"/>
      <c r="Q44" s="392">
        <f t="shared" si="23"/>
        <v>4117040.787171375</v>
      </c>
      <c r="R44" s="393">
        <f t="shared" si="24"/>
        <v>282959.21282862511</v>
      </c>
      <c r="T44" s="392"/>
      <c r="U44" s="393"/>
      <c r="W44" s="392">
        <f t="shared" si="25"/>
        <v>4117040.787171375</v>
      </c>
      <c r="X44" s="393">
        <f t="shared" si="26"/>
        <v>282959.21282862511</v>
      </c>
      <c r="Y44" s="368"/>
      <c r="Z44" s="368"/>
      <c r="AA44" s="403"/>
      <c r="AB44" s="403"/>
      <c r="AC44" s="368"/>
      <c r="AD44" s="403"/>
      <c r="AE44" s="403"/>
    </row>
    <row r="45" spans="1:31" ht="3.75" customHeight="1" x14ac:dyDescent="0.2">
      <c r="A45" s="394"/>
      <c r="B45" s="420"/>
      <c r="C45" s="395"/>
      <c r="E45" s="374"/>
      <c r="F45" s="375"/>
      <c r="H45" s="374"/>
      <c r="I45" s="375"/>
      <c r="K45" s="374">
        <f t="shared" ref="K45:K48" si="28">E45+H45</f>
        <v>0</v>
      </c>
      <c r="L45" s="375">
        <f t="shared" ref="L45:L48" si="29">F45+I45</f>
        <v>0</v>
      </c>
      <c r="N45" s="374"/>
      <c r="O45" s="375"/>
      <c r="Q45" s="374"/>
      <c r="R45" s="375"/>
      <c r="T45" s="374"/>
      <c r="U45" s="375"/>
      <c r="W45" s="374">
        <f t="shared" si="15"/>
        <v>0</v>
      </c>
      <c r="X45" s="375">
        <f t="shared" si="16"/>
        <v>0</v>
      </c>
      <c r="AA45" s="403"/>
      <c r="AB45" s="403"/>
    </row>
    <row r="46" spans="1:31" ht="13.5" customHeight="1" x14ac:dyDescent="0.2">
      <c r="A46" s="154" t="str">
        <f>'Functionalized Accounts'!B49</f>
        <v>Interest, Amortization and Registration Fees - Amortization</v>
      </c>
      <c r="B46" s="419" t="str">
        <f>'TB Allocation Details'!C46</f>
        <v>TWh</v>
      </c>
      <c r="C46" s="350">
        <f>'Functionalized Accounts'!D49</f>
        <v>22000000</v>
      </c>
      <c r="E46" s="372">
        <f t="shared" ref="E46:F47" si="30">$C46*E$50</f>
        <v>20585203.935856875</v>
      </c>
      <c r="F46" s="373">
        <f t="shared" si="30"/>
        <v>1414796.0641431257</v>
      </c>
      <c r="H46" s="372"/>
      <c r="I46" s="373"/>
      <c r="K46" s="372">
        <f t="shared" si="28"/>
        <v>20585203.935856875</v>
      </c>
      <c r="L46" s="373">
        <f t="shared" si="29"/>
        <v>1414796.0641431257</v>
      </c>
      <c r="N46" s="372"/>
      <c r="O46" s="373"/>
      <c r="Q46" s="372">
        <f t="shared" ref="Q46:Q47" si="31">K46+N46</f>
        <v>20585203.935856875</v>
      </c>
      <c r="R46" s="373">
        <f t="shared" ref="R46:R47" si="32">L46+O46</f>
        <v>1414796.0641431257</v>
      </c>
      <c r="T46" s="372"/>
      <c r="U46" s="373"/>
      <c r="W46" s="372">
        <f t="shared" si="15"/>
        <v>20585203.935856875</v>
      </c>
      <c r="X46" s="373">
        <f t="shared" si="16"/>
        <v>1414796.0641431257</v>
      </c>
      <c r="Y46" s="368"/>
      <c r="Z46" s="368"/>
      <c r="AA46" s="403"/>
      <c r="AB46" s="403"/>
    </row>
    <row r="47" spans="1:31" ht="13.5" customHeight="1" x14ac:dyDescent="0.2">
      <c r="A47" s="154" t="str">
        <f>'Functionalized Accounts'!B50</f>
        <v>Interest, Amortization and Registration Fees - Interest</v>
      </c>
      <c r="B47" s="419" t="str">
        <f>'TB Allocation Details'!C47</f>
        <v>TWh</v>
      </c>
      <c r="C47" s="350">
        <f>'Functionalized Accounts'!D50</f>
        <v>-9700000</v>
      </c>
      <c r="E47" s="392">
        <f t="shared" si="30"/>
        <v>-9076203.5535368957</v>
      </c>
      <c r="F47" s="393">
        <f t="shared" si="30"/>
        <v>-623796.44646310539</v>
      </c>
      <c r="H47" s="392"/>
      <c r="I47" s="393"/>
      <c r="K47" s="392">
        <f t="shared" si="28"/>
        <v>-9076203.5535368957</v>
      </c>
      <c r="L47" s="393">
        <f t="shared" si="29"/>
        <v>-623796.44646310539</v>
      </c>
      <c r="N47" s="392"/>
      <c r="O47" s="393"/>
      <c r="Q47" s="392">
        <f t="shared" si="31"/>
        <v>-9076203.5535368957</v>
      </c>
      <c r="R47" s="393">
        <f t="shared" si="32"/>
        <v>-623796.44646310539</v>
      </c>
      <c r="T47" s="392"/>
      <c r="U47" s="393"/>
      <c r="W47" s="392">
        <f t="shared" si="15"/>
        <v>-9076203.5535368957</v>
      </c>
      <c r="X47" s="393">
        <f t="shared" si="16"/>
        <v>-623796.44646310539</v>
      </c>
      <c r="Y47" s="368"/>
      <c r="Z47" s="368"/>
      <c r="AA47" s="403"/>
      <c r="AB47" s="403"/>
    </row>
    <row r="48" spans="1:31" ht="13.5" customHeight="1" thickBot="1" x14ac:dyDescent="0.25">
      <c r="A48" s="154" t="str">
        <f>'Functionalized Accounts'!B51</f>
        <v>Interest, Amortization and Registration Fees - Registration Fees</v>
      </c>
      <c r="B48" s="419" t="str">
        <f>'TB Allocation Details'!C48</f>
        <v>DOM</v>
      </c>
      <c r="C48" s="350">
        <f>'Functionalized Accounts'!D51</f>
        <v>-500000</v>
      </c>
      <c r="E48" s="376">
        <f>C48</f>
        <v>-500000</v>
      </c>
      <c r="F48" s="377"/>
      <c r="H48" s="376"/>
      <c r="I48" s="377"/>
      <c r="K48" s="376">
        <f t="shared" si="28"/>
        <v>-500000</v>
      </c>
      <c r="L48" s="377">
        <f t="shared" si="29"/>
        <v>0</v>
      </c>
      <c r="N48" s="376"/>
      <c r="O48" s="377"/>
      <c r="Q48" s="376">
        <f t="shared" ref="Q48" si="33">K48+N48</f>
        <v>-500000</v>
      </c>
      <c r="R48" s="377">
        <f t="shared" ref="R48" si="34">L48+O48</f>
        <v>0</v>
      </c>
      <c r="T48" s="376"/>
      <c r="U48" s="377"/>
      <c r="W48" s="376">
        <f t="shared" si="15"/>
        <v>-500000</v>
      </c>
      <c r="X48" s="377">
        <f t="shared" si="16"/>
        <v>0</v>
      </c>
      <c r="Y48" s="368"/>
      <c r="Z48" s="368"/>
      <c r="AA48" s="403"/>
      <c r="AB48" s="403"/>
      <c r="AC48" s="368"/>
      <c r="AD48" s="403"/>
      <c r="AE48" s="403"/>
    </row>
    <row r="49" spans="1:31" ht="13.5" customHeight="1" x14ac:dyDescent="0.2">
      <c r="Y49" s="368"/>
      <c r="Z49" s="368"/>
    </row>
    <row r="50" spans="1:31" ht="13.5" customHeight="1" x14ac:dyDescent="0.2">
      <c r="A50" s="380" t="s">
        <v>68</v>
      </c>
      <c r="B50" s="421"/>
      <c r="C50" s="381"/>
      <c r="E50" s="382">
        <f>Allocators!D13</f>
        <v>0.93569108799349432</v>
      </c>
      <c r="F50" s="382">
        <f>Allocators!E13</f>
        <v>6.4308912006505708E-2</v>
      </c>
      <c r="H50" s="381"/>
      <c r="I50" s="381"/>
      <c r="K50" s="381"/>
      <c r="L50" s="381"/>
      <c r="N50" s="381"/>
      <c r="O50" s="381"/>
      <c r="Q50" s="381"/>
      <c r="R50" s="381"/>
      <c r="T50" s="381"/>
      <c r="U50" s="381"/>
      <c r="W50" s="381"/>
      <c r="X50" s="383"/>
    </row>
    <row r="51" spans="1:31" ht="13.5" customHeight="1" x14ac:dyDescent="0.2">
      <c r="A51" s="367" t="s">
        <v>112</v>
      </c>
      <c r="N51" s="384">
        <f>SUM(K$5:K$44)/SUM($K$5:$L$44)</f>
        <v>0.94453095601911585</v>
      </c>
      <c r="O51" s="384">
        <f>SUM(L$5:L$44)/SUM($K$5:$L$44)</f>
        <v>5.5469043980884217E-2</v>
      </c>
      <c r="X51" s="385"/>
    </row>
    <row r="52" spans="1:31" ht="13.5" customHeight="1" x14ac:dyDescent="0.2">
      <c r="A52" s="386" t="s">
        <v>80</v>
      </c>
      <c r="B52" s="422"/>
      <c r="C52" s="387"/>
      <c r="E52" s="387"/>
      <c r="F52" s="387"/>
      <c r="H52" s="387"/>
      <c r="I52" s="387"/>
      <c r="K52" s="387"/>
      <c r="L52" s="387"/>
      <c r="N52" s="387"/>
      <c r="O52" s="387"/>
      <c r="Q52" s="387"/>
      <c r="R52" s="387"/>
      <c r="T52" s="388"/>
      <c r="U52" s="388"/>
      <c r="V52" s="369"/>
      <c r="W52" s="388">
        <f>SUM(W5:W48)</f>
        <v>210426763.9262031</v>
      </c>
      <c r="X52" s="389">
        <f t="shared" ref="X52" si="35">SUM(X5:X48)</f>
        <v>12503236.073796896</v>
      </c>
      <c r="Z52" s="369"/>
      <c r="AA52" s="369"/>
      <c r="AB52" s="400"/>
      <c r="AC52" s="400"/>
      <c r="AD52" s="403"/>
      <c r="AE52" s="403"/>
    </row>
    <row r="53" spans="1:31" ht="13.5" customHeight="1" x14ac:dyDescent="0.2">
      <c r="T53" s="368"/>
      <c r="U53" s="368"/>
      <c r="W53" s="368"/>
      <c r="X53" s="368"/>
      <c r="Z53" s="369"/>
    </row>
    <row r="54" spans="1:31" ht="13.5" customHeight="1" x14ac:dyDescent="0.2">
      <c r="W54" s="368"/>
      <c r="X54" s="368"/>
      <c r="Z54" s="369"/>
    </row>
  </sheetData>
  <mergeCells count="12">
    <mergeCell ref="W2:X2"/>
    <mergeCell ref="E3:F3"/>
    <mergeCell ref="H3:I3"/>
    <mergeCell ref="T3:U3"/>
    <mergeCell ref="K3:L3"/>
    <mergeCell ref="N3:O3"/>
    <mergeCell ref="E2:F2"/>
    <mergeCell ref="H2:I2"/>
    <mergeCell ref="N2:O2"/>
    <mergeCell ref="T2:U2"/>
    <mergeCell ref="K2:L2"/>
    <mergeCell ref="Q2:R2"/>
  </mergeCells>
  <pageMargins left="0.7" right="0.7" top="0.75" bottom="0.75" header="0.3" footer="0.3"/>
  <pageSetup orientation="portrait" r:id="rId1"/>
  <headerFooter>
    <oddHeader xml:space="preserve">&amp;RFiled: March 13, 2024
 EB-2024-0004
Clarification Questions
 APPrO
 Page 1 of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2"/>
  </sheetPr>
  <dimension ref="A1:J63"/>
  <sheetViews>
    <sheetView view="pageLayout" topLeftCell="H1" zoomScaleNormal="100" workbookViewId="0">
      <selection activeCell="J38" sqref="J38"/>
    </sheetView>
  </sheetViews>
  <sheetFormatPr defaultColWidth="9.140625" defaultRowHeight="11.25" x14ac:dyDescent="0.2"/>
  <cols>
    <col min="1" max="1" width="2.7109375" style="6" customWidth="1"/>
    <col min="2" max="2" width="81.28515625" style="7" customWidth="1"/>
    <col min="3" max="3" width="3" style="7" customWidth="1"/>
    <col min="4" max="4" width="19.42578125" style="8" customWidth="1"/>
    <col min="5" max="5" width="11.140625" style="8" customWidth="1"/>
    <col min="6" max="6" width="17.7109375" style="8" customWidth="1"/>
    <col min="7" max="7" width="9.140625" style="8" bestFit="1" customWidth="1"/>
    <col min="8" max="8" width="10.7109375" style="6" bestFit="1" customWidth="1"/>
    <col min="9" max="9" width="9.140625" style="1"/>
    <col min="10" max="10" width="9.140625" style="152"/>
    <col min="11" max="16384" width="9.140625" style="6"/>
  </cols>
  <sheetData>
    <row r="1" spans="1:10" s="1" customFormat="1" ht="20.25" x14ac:dyDescent="0.3">
      <c r="B1" s="9" t="str">
        <f>"Functionalized Accounts"</f>
        <v>Functionalized Accounts</v>
      </c>
      <c r="C1" s="10"/>
      <c r="D1" s="10"/>
      <c r="E1" s="438" t="str">
        <f>"IESO "&amp;'Revenue to Cost|RR'!H22&amp;" Fee Model"</f>
        <v>IESO 2024 Fee Model</v>
      </c>
      <c r="F1" s="3"/>
      <c r="J1" s="151"/>
    </row>
    <row r="2" spans="1:10" s="1" customFormat="1" x14ac:dyDescent="0.2">
      <c r="A2" s="2"/>
      <c r="B2" s="2"/>
      <c r="C2" s="2"/>
      <c r="D2" s="2"/>
      <c r="E2" s="2"/>
      <c r="F2" s="2"/>
      <c r="G2" s="2"/>
      <c r="J2" s="151"/>
    </row>
    <row r="3" spans="1:10" x14ac:dyDescent="0.2">
      <c r="D3" s="7"/>
      <c r="E3" s="7"/>
      <c r="F3" s="7"/>
      <c r="G3" s="6"/>
      <c r="I3" s="6"/>
      <c r="J3" s="6"/>
    </row>
    <row r="4" spans="1:10" s="13" customFormat="1" ht="13.15" customHeight="1" x14ac:dyDescent="0.2">
      <c r="A4" s="11"/>
      <c r="B4" s="59"/>
      <c r="C4" s="39"/>
      <c r="D4" s="454" t="s">
        <v>85</v>
      </c>
      <c r="E4" s="455"/>
      <c r="F4" s="278">
        <f>F52</f>
        <v>222930000</v>
      </c>
      <c r="G4" s="279"/>
    </row>
    <row r="5" spans="1:10" s="13" customFormat="1" ht="13.5" thickBot="1" x14ac:dyDescent="0.25">
      <c r="A5" s="14"/>
      <c r="B5" s="39"/>
      <c r="C5" s="39"/>
      <c r="D5" s="452" t="s">
        <v>86</v>
      </c>
      <c r="E5" s="453"/>
      <c r="F5" s="280">
        <f>F62</f>
        <v>102646989.62</v>
      </c>
      <c r="G5" s="279"/>
      <c r="H5" s="279"/>
    </row>
    <row r="6" spans="1:10" s="13" customFormat="1" ht="12.75" x14ac:dyDescent="0.2">
      <c r="A6" s="14"/>
      <c r="B6" s="39"/>
      <c r="C6" s="39"/>
      <c r="D6" s="281"/>
      <c r="E6" s="281"/>
      <c r="F6" s="282"/>
      <c r="G6" s="80"/>
      <c r="H6" s="277"/>
      <c r="I6" s="277"/>
    </row>
    <row r="7" spans="1:10" s="13" customFormat="1" ht="16.149999999999999" customHeight="1" x14ac:dyDescent="0.2">
      <c r="A7" s="14"/>
      <c r="B7" s="300" t="s">
        <v>88</v>
      </c>
      <c r="C7" s="39"/>
      <c r="D7" s="281"/>
      <c r="E7" s="281"/>
      <c r="F7" s="282"/>
      <c r="G7" s="80"/>
      <c r="H7" s="277"/>
      <c r="I7" s="277"/>
    </row>
    <row r="8" spans="1:10" s="15" customFormat="1" ht="25.5" x14ac:dyDescent="0.2">
      <c r="A8" s="14"/>
      <c r="B8" s="19" t="s">
        <v>0</v>
      </c>
      <c r="C8" s="16"/>
      <c r="D8" s="17" t="s">
        <v>4</v>
      </c>
      <c r="E8" s="18" t="s">
        <v>19</v>
      </c>
      <c r="F8" s="18" t="s">
        <v>20</v>
      </c>
      <c r="G8" s="18" t="s">
        <v>81</v>
      </c>
      <c r="H8" s="283"/>
      <c r="I8" s="283"/>
    </row>
    <row r="9" spans="1:10" s="52" customFormat="1" ht="12.75" x14ac:dyDescent="0.2">
      <c r="A9" s="14"/>
      <c r="B9" s="154" t="s">
        <v>163</v>
      </c>
      <c r="C9" s="284"/>
      <c r="D9" s="350">
        <v>1500000</v>
      </c>
      <c r="E9" s="285"/>
      <c r="F9" s="333">
        <f t="shared" ref="F9:F51" si="0">+D9+E9</f>
        <v>1500000</v>
      </c>
      <c r="G9" s="249" t="s">
        <v>112</v>
      </c>
      <c r="H9" s="287"/>
      <c r="I9" s="287"/>
    </row>
    <row r="10" spans="1:10" s="52" customFormat="1" ht="12.75" x14ac:dyDescent="0.2">
      <c r="A10" s="14"/>
      <c r="B10" s="154" t="s">
        <v>137</v>
      </c>
      <c r="C10" s="284"/>
      <c r="D10" s="350">
        <v>1100000</v>
      </c>
      <c r="E10" s="285"/>
      <c r="F10" s="333">
        <f t="shared" si="0"/>
        <v>1100000</v>
      </c>
      <c r="G10" s="249" t="s">
        <v>169</v>
      </c>
      <c r="H10" s="287"/>
      <c r="I10" s="287"/>
    </row>
    <row r="11" spans="1:10" s="52" customFormat="1" ht="12.75" x14ac:dyDescent="0.2">
      <c r="A11" s="14"/>
      <c r="B11" s="154" t="s">
        <v>138</v>
      </c>
      <c r="C11" s="284"/>
      <c r="D11" s="350">
        <v>11600000</v>
      </c>
      <c r="E11" s="285"/>
      <c r="F11" s="333">
        <f t="shared" ref="F11:F28" si="1">+D11+E11</f>
        <v>11600000</v>
      </c>
      <c r="G11" s="249" t="s">
        <v>68</v>
      </c>
      <c r="H11" s="287"/>
      <c r="I11" s="287"/>
    </row>
    <row r="12" spans="1:10" s="52" customFormat="1" ht="12.75" x14ac:dyDescent="0.2">
      <c r="A12" s="14"/>
      <c r="B12" s="154" t="s">
        <v>139</v>
      </c>
      <c r="C12" s="284"/>
      <c r="D12" s="350">
        <v>17200000</v>
      </c>
      <c r="E12" s="285"/>
      <c r="F12" s="333">
        <f t="shared" si="1"/>
        <v>17200000</v>
      </c>
      <c r="G12" s="249" t="s">
        <v>68</v>
      </c>
      <c r="H12" s="287"/>
      <c r="I12" s="287"/>
    </row>
    <row r="13" spans="1:10" s="52" customFormat="1" ht="12.75" x14ac:dyDescent="0.2">
      <c r="A13" s="14"/>
      <c r="B13" s="154" t="s">
        <v>140</v>
      </c>
      <c r="C13" s="284"/>
      <c r="D13" s="350">
        <v>4600000.0000000009</v>
      </c>
      <c r="E13" s="285"/>
      <c r="F13" s="333">
        <f t="shared" si="1"/>
        <v>4600000.0000000009</v>
      </c>
      <c r="G13" s="249" t="s">
        <v>68</v>
      </c>
      <c r="H13" s="287"/>
      <c r="I13" s="287"/>
    </row>
    <row r="14" spans="1:10" s="52" customFormat="1" ht="12.75" x14ac:dyDescent="0.2">
      <c r="A14" s="14"/>
      <c r="B14" s="154" t="s">
        <v>141</v>
      </c>
      <c r="C14" s="284"/>
      <c r="D14" s="350">
        <v>5800000</v>
      </c>
      <c r="E14" s="285"/>
      <c r="F14" s="333">
        <f t="shared" si="1"/>
        <v>5800000</v>
      </c>
      <c r="G14" s="249" t="s">
        <v>68</v>
      </c>
      <c r="H14" s="287"/>
      <c r="I14" s="287"/>
    </row>
    <row r="15" spans="1:10" s="52" customFormat="1" ht="25.5" x14ac:dyDescent="0.2">
      <c r="A15" s="14"/>
      <c r="B15" s="154" t="s">
        <v>142</v>
      </c>
      <c r="C15" s="284"/>
      <c r="D15" s="350">
        <v>1100000</v>
      </c>
      <c r="E15" s="285"/>
      <c r="F15" s="333">
        <f t="shared" si="1"/>
        <v>1100000</v>
      </c>
      <c r="G15" s="249" t="s">
        <v>170</v>
      </c>
      <c r="H15" s="287"/>
      <c r="I15" s="287"/>
    </row>
    <row r="16" spans="1:10" s="52" customFormat="1" ht="12.75" x14ac:dyDescent="0.2">
      <c r="A16" s="14"/>
      <c r="B16" s="154" t="s">
        <v>143</v>
      </c>
      <c r="C16" s="284"/>
      <c r="D16" s="350">
        <v>6400000</v>
      </c>
      <c r="E16" s="285"/>
      <c r="F16" s="333">
        <f t="shared" si="1"/>
        <v>6400000</v>
      </c>
      <c r="G16" s="249" t="s">
        <v>29</v>
      </c>
      <c r="H16" s="287"/>
      <c r="I16" s="287"/>
    </row>
    <row r="17" spans="1:9" s="52" customFormat="1" ht="12.75" x14ac:dyDescent="0.2">
      <c r="A17" s="14"/>
      <c r="B17" s="154" t="s">
        <v>144</v>
      </c>
      <c r="C17" s="284"/>
      <c r="D17" s="350">
        <v>6900000</v>
      </c>
      <c r="E17" s="285"/>
      <c r="F17" s="333">
        <f t="shared" si="1"/>
        <v>6900000</v>
      </c>
      <c r="G17" s="357" t="s">
        <v>29</v>
      </c>
      <c r="H17" s="287"/>
      <c r="I17" s="287"/>
    </row>
    <row r="18" spans="1:9" s="52" customFormat="1" ht="12.75" x14ac:dyDescent="0.2">
      <c r="A18" s="14"/>
      <c r="B18" s="154" t="s">
        <v>145</v>
      </c>
      <c r="C18" s="284"/>
      <c r="D18" s="350">
        <v>7100000</v>
      </c>
      <c r="E18" s="285"/>
      <c r="F18" s="333">
        <f t="shared" si="1"/>
        <v>7100000</v>
      </c>
      <c r="G18" s="357" t="s">
        <v>29</v>
      </c>
      <c r="H18" s="287"/>
      <c r="I18" s="287"/>
    </row>
    <row r="19" spans="1:9" s="52" customFormat="1" ht="12.75" x14ac:dyDescent="0.2">
      <c r="A19" s="14"/>
      <c r="B19" s="154" t="s">
        <v>146</v>
      </c>
      <c r="C19" s="284"/>
      <c r="D19" s="350">
        <v>6730000</v>
      </c>
      <c r="E19" s="285"/>
      <c r="F19" s="333">
        <f t="shared" si="1"/>
        <v>6730000</v>
      </c>
      <c r="G19" s="357" t="s">
        <v>29</v>
      </c>
      <c r="H19" s="287"/>
      <c r="I19" s="287"/>
    </row>
    <row r="20" spans="1:9" s="52" customFormat="1" ht="12.75" x14ac:dyDescent="0.2">
      <c r="A20" s="14"/>
      <c r="B20" s="154" t="s">
        <v>147</v>
      </c>
      <c r="C20" s="284"/>
      <c r="D20" s="350">
        <v>700000</v>
      </c>
      <c r="E20" s="285"/>
      <c r="F20" s="333">
        <f t="shared" si="1"/>
        <v>700000</v>
      </c>
      <c r="G20" s="357" t="s">
        <v>171</v>
      </c>
      <c r="H20" s="287"/>
      <c r="I20" s="287"/>
    </row>
    <row r="21" spans="1:9" s="52" customFormat="1" ht="12.75" x14ac:dyDescent="0.2">
      <c r="A21" s="14"/>
      <c r="B21" s="154" t="s">
        <v>148</v>
      </c>
      <c r="C21" s="284"/>
      <c r="D21" s="350">
        <v>650000</v>
      </c>
      <c r="E21" s="285"/>
      <c r="F21" s="333">
        <f t="shared" si="1"/>
        <v>650000</v>
      </c>
      <c r="G21" s="357" t="s">
        <v>29</v>
      </c>
      <c r="H21" s="287"/>
      <c r="I21" s="287"/>
    </row>
    <row r="22" spans="1:9" s="52" customFormat="1" ht="12.75" x14ac:dyDescent="0.2">
      <c r="A22" s="14"/>
      <c r="B22" s="154" t="s">
        <v>149</v>
      </c>
      <c r="C22" s="284"/>
      <c r="D22" s="350">
        <v>4150000.0000000005</v>
      </c>
      <c r="E22" s="285"/>
      <c r="F22" s="333">
        <f t="shared" si="1"/>
        <v>4150000.0000000005</v>
      </c>
      <c r="G22" s="357" t="s">
        <v>29</v>
      </c>
      <c r="H22" s="287"/>
      <c r="I22" s="287"/>
    </row>
    <row r="23" spans="1:9" s="52" customFormat="1" ht="25.5" x14ac:dyDescent="0.2">
      <c r="A23" s="14"/>
      <c r="B23" s="154" t="s">
        <v>150</v>
      </c>
      <c r="C23" s="284"/>
      <c r="D23" s="350">
        <v>6439999.9999999991</v>
      </c>
      <c r="E23" s="285"/>
      <c r="F23" s="333">
        <f t="shared" si="1"/>
        <v>6439999.9999999991</v>
      </c>
      <c r="G23" s="357" t="s">
        <v>29</v>
      </c>
      <c r="H23" s="287"/>
      <c r="I23" s="287"/>
    </row>
    <row r="24" spans="1:9" s="52" customFormat="1" ht="25.5" x14ac:dyDescent="0.2">
      <c r="A24" s="14"/>
      <c r="B24" s="154" t="s">
        <v>151</v>
      </c>
      <c r="C24" s="284"/>
      <c r="D24" s="350">
        <v>4720000</v>
      </c>
      <c r="E24" s="285"/>
      <c r="F24" s="333">
        <f t="shared" si="1"/>
        <v>4720000</v>
      </c>
      <c r="G24" s="357" t="s">
        <v>29</v>
      </c>
      <c r="H24" s="287"/>
      <c r="I24" s="287"/>
    </row>
    <row r="25" spans="1:9" s="52" customFormat="1" ht="12.75" x14ac:dyDescent="0.2">
      <c r="A25" s="14"/>
      <c r="B25" s="154" t="s">
        <v>53</v>
      </c>
      <c r="C25" s="284"/>
      <c r="D25" s="350">
        <v>900000</v>
      </c>
      <c r="E25" s="285"/>
      <c r="F25" s="333">
        <f t="shared" si="1"/>
        <v>900000</v>
      </c>
      <c r="G25" s="357" t="s">
        <v>67</v>
      </c>
      <c r="H25" s="287"/>
      <c r="I25" s="287"/>
    </row>
    <row r="26" spans="1:9" s="52" customFormat="1" ht="12.75" x14ac:dyDescent="0.2">
      <c r="A26" s="14"/>
      <c r="B26" s="154" t="s">
        <v>152</v>
      </c>
      <c r="C26" s="284"/>
      <c r="D26" s="350">
        <v>2200000</v>
      </c>
      <c r="E26" s="285"/>
      <c r="F26" s="333">
        <f t="shared" si="1"/>
        <v>2200000</v>
      </c>
      <c r="G26" s="357" t="s">
        <v>112</v>
      </c>
      <c r="H26" s="287"/>
      <c r="I26" s="287"/>
    </row>
    <row r="27" spans="1:9" s="52" customFormat="1" ht="12.75" x14ac:dyDescent="0.2">
      <c r="A27" s="14"/>
      <c r="B27" s="154" t="s">
        <v>115</v>
      </c>
      <c r="C27" s="284"/>
      <c r="D27" s="350">
        <v>5600000</v>
      </c>
      <c r="E27" s="285"/>
      <c r="F27" s="333">
        <f t="shared" si="1"/>
        <v>5600000</v>
      </c>
      <c r="G27" s="357" t="s">
        <v>112</v>
      </c>
      <c r="H27" s="287"/>
      <c r="I27" s="287"/>
    </row>
    <row r="28" spans="1:9" s="52" customFormat="1" ht="12.75" x14ac:dyDescent="0.2">
      <c r="A28" s="14"/>
      <c r="B28" s="154" t="s">
        <v>153</v>
      </c>
      <c r="C28" s="284"/>
      <c r="D28" s="350">
        <v>19100000</v>
      </c>
      <c r="E28" s="285"/>
      <c r="F28" s="333">
        <f t="shared" si="1"/>
        <v>19100000</v>
      </c>
      <c r="G28" s="357" t="s">
        <v>112</v>
      </c>
      <c r="H28" s="287"/>
      <c r="I28" s="287"/>
    </row>
    <row r="29" spans="1:9" s="52" customFormat="1" ht="12.75" x14ac:dyDescent="0.2">
      <c r="A29" s="14"/>
      <c r="B29" s="154" t="s">
        <v>154</v>
      </c>
      <c r="C29" s="284"/>
      <c r="D29" s="350">
        <v>21600000</v>
      </c>
      <c r="E29" s="285"/>
      <c r="F29" s="333">
        <f t="shared" si="0"/>
        <v>21600000</v>
      </c>
      <c r="G29" s="357" t="s">
        <v>112</v>
      </c>
      <c r="H29" s="287"/>
      <c r="I29" s="287"/>
    </row>
    <row r="30" spans="1:9" s="52" customFormat="1" ht="12.75" x14ac:dyDescent="0.2">
      <c r="A30" s="14"/>
      <c r="B30" s="154" t="s">
        <v>155</v>
      </c>
      <c r="C30" s="284"/>
      <c r="D30" s="350">
        <v>1500000.0000000002</v>
      </c>
      <c r="E30" s="285"/>
      <c r="F30" s="333">
        <f t="shared" si="0"/>
        <v>1500000.0000000002</v>
      </c>
      <c r="G30" s="357" t="s">
        <v>105</v>
      </c>
      <c r="H30" s="287"/>
      <c r="I30" s="287"/>
    </row>
    <row r="31" spans="1:9" s="52" customFormat="1" ht="12.75" x14ac:dyDescent="0.2">
      <c r="A31" s="14"/>
      <c r="B31" s="154" t="s">
        <v>156</v>
      </c>
      <c r="C31" s="284"/>
      <c r="D31" s="350">
        <v>11100000.000000004</v>
      </c>
      <c r="E31" s="285"/>
      <c r="F31" s="333">
        <f t="shared" si="0"/>
        <v>11100000.000000004</v>
      </c>
      <c r="G31" s="249" t="s">
        <v>68</v>
      </c>
      <c r="H31" s="287"/>
      <c r="I31" s="287"/>
    </row>
    <row r="32" spans="1:9" s="52" customFormat="1" ht="12.75" x14ac:dyDescent="0.2">
      <c r="A32" s="14"/>
      <c r="B32" s="154" t="s">
        <v>157</v>
      </c>
      <c r="C32" s="284"/>
      <c r="D32" s="350">
        <v>2900000.0000000005</v>
      </c>
      <c r="E32" s="285"/>
      <c r="F32" s="333">
        <f>+D32+E32</f>
        <v>2900000.0000000005</v>
      </c>
      <c r="G32" s="249" t="s">
        <v>68</v>
      </c>
      <c r="H32" s="287"/>
      <c r="I32" s="287"/>
    </row>
    <row r="33" spans="1:9" s="52" customFormat="1" ht="14.25" customHeight="1" x14ac:dyDescent="0.2">
      <c r="A33" s="14"/>
      <c r="B33" s="154" t="s">
        <v>158</v>
      </c>
      <c r="C33" s="284"/>
      <c r="D33" s="350">
        <v>600000.00000000012</v>
      </c>
      <c r="E33" s="285"/>
      <c r="F33" s="333">
        <f>+D33+E33</f>
        <v>600000.00000000012</v>
      </c>
      <c r="G33" s="249" t="s">
        <v>68</v>
      </c>
      <c r="H33" s="287"/>
      <c r="I33" s="287"/>
    </row>
    <row r="34" spans="1:9" s="52" customFormat="1" ht="12.75" x14ac:dyDescent="0.2">
      <c r="A34" s="14"/>
      <c r="B34" s="154" t="s">
        <v>159</v>
      </c>
      <c r="C34" s="284"/>
      <c r="D34" s="350">
        <v>800000.00000000023</v>
      </c>
      <c r="E34" s="285"/>
      <c r="F34" s="333">
        <f t="shared" si="0"/>
        <v>800000.00000000023</v>
      </c>
      <c r="G34" s="249" t="s">
        <v>68</v>
      </c>
      <c r="H34" s="287"/>
      <c r="I34" s="287"/>
    </row>
    <row r="35" spans="1:9" s="52" customFormat="1" ht="12.75" x14ac:dyDescent="0.2">
      <c r="A35" s="14"/>
      <c r="B35" s="154" t="s">
        <v>160</v>
      </c>
      <c r="C35" s="284"/>
      <c r="D35" s="350">
        <v>5300000.0000000009</v>
      </c>
      <c r="E35" s="285"/>
      <c r="F35" s="333">
        <f t="shared" si="0"/>
        <v>5300000.0000000009</v>
      </c>
      <c r="G35" s="249" t="s">
        <v>69</v>
      </c>
      <c r="H35" s="287"/>
      <c r="I35" s="287"/>
    </row>
    <row r="36" spans="1:9" s="52" customFormat="1" ht="12.75" x14ac:dyDescent="0.2">
      <c r="A36" s="14"/>
      <c r="B36" s="154" t="s">
        <v>161</v>
      </c>
      <c r="C36" s="284"/>
      <c r="D36" s="350">
        <v>8740000.0000000019</v>
      </c>
      <c r="E36" s="285"/>
      <c r="F36" s="333">
        <f t="shared" si="0"/>
        <v>8740000.0000000019</v>
      </c>
      <c r="G36" s="249" t="s">
        <v>29</v>
      </c>
      <c r="H36" s="287"/>
      <c r="I36" s="287"/>
    </row>
    <row r="37" spans="1:9" s="52" customFormat="1" ht="12.75" x14ac:dyDescent="0.2">
      <c r="A37" s="14"/>
      <c r="B37" s="154" t="s">
        <v>162</v>
      </c>
      <c r="C37" s="284"/>
      <c r="D37" s="350">
        <v>1800000</v>
      </c>
      <c r="E37" s="285"/>
      <c r="F37" s="333">
        <f>+D37+E37</f>
        <v>1800000</v>
      </c>
      <c r="G37" s="249" t="s">
        <v>68</v>
      </c>
      <c r="H37" s="287"/>
      <c r="I37" s="287"/>
    </row>
    <row r="38" spans="1:9" s="52" customFormat="1" ht="12.75" x14ac:dyDescent="0.2">
      <c r="A38" s="14"/>
      <c r="B38" s="154" t="s">
        <v>186</v>
      </c>
      <c r="C38" s="284"/>
      <c r="D38" s="350">
        <v>700000</v>
      </c>
      <c r="E38" s="285"/>
      <c r="F38" s="333">
        <f t="shared" si="0"/>
        <v>700000</v>
      </c>
      <c r="G38" s="249" t="s">
        <v>68</v>
      </c>
      <c r="H38" s="287"/>
      <c r="I38" s="287"/>
    </row>
    <row r="39" spans="1:9" s="52" customFormat="1" ht="12.75" x14ac:dyDescent="0.2">
      <c r="A39" s="14"/>
      <c r="B39" s="154" t="s">
        <v>54</v>
      </c>
      <c r="C39" s="284"/>
      <c r="D39" s="350">
        <v>600000</v>
      </c>
      <c r="E39" s="285"/>
      <c r="F39" s="333">
        <f t="shared" si="0"/>
        <v>600000</v>
      </c>
      <c r="G39" s="249" t="s">
        <v>63</v>
      </c>
      <c r="H39" s="287"/>
      <c r="I39" s="287"/>
    </row>
    <row r="40" spans="1:9" s="52" customFormat="1" ht="12.75" x14ac:dyDescent="0.2">
      <c r="A40" s="14"/>
      <c r="B40" s="154" t="s">
        <v>164</v>
      </c>
      <c r="C40" s="284"/>
      <c r="D40" s="350">
        <v>5900000</v>
      </c>
      <c r="E40" s="285"/>
      <c r="F40" s="333">
        <f>+D40+E40</f>
        <v>5900000</v>
      </c>
      <c r="G40" s="249" t="s">
        <v>112</v>
      </c>
      <c r="H40" s="287"/>
      <c r="I40" s="287"/>
    </row>
    <row r="41" spans="1:9" s="52" customFormat="1" ht="12.75" x14ac:dyDescent="0.2">
      <c r="A41" s="14"/>
      <c r="B41" s="154" t="s">
        <v>116</v>
      </c>
      <c r="C41" s="284"/>
      <c r="D41" s="350">
        <v>1800000</v>
      </c>
      <c r="E41" s="285"/>
      <c r="F41" s="333">
        <f t="shared" si="0"/>
        <v>1800000</v>
      </c>
      <c r="G41" s="249" t="s">
        <v>112</v>
      </c>
      <c r="H41" s="287"/>
      <c r="I41" s="287"/>
    </row>
    <row r="42" spans="1:9" s="52" customFormat="1" ht="12.75" x14ac:dyDescent="0.2">
      <c r="A42" s="14"/>
      <c r="B42" s="154" t="s">
        <v>165</v>
      </c>
      <c r="C42" s="284"/>
      <c r="D42" s="350">
        <v>2300000</v>
      </c>
      <c r="E42" s="285"/>
      <c r="F42" s="333">
        <f t="shared" si="0"/>
        <v>2300000</v>
      </c>
      <c r="G42" s="249" t="s">
        <v>112</v>
      </c>
      <c r="H42" s="287"/>
      <c r="I42" s="287"/>
    </row>
    <row r="43" spans="1:9" s="52" customFormat="1" ht="12.75" x14ac:dyDescent="0.2">
      <c r="A43" s="14"/>
      <c r="B43" s="154" t="s">
        <v>55</v>
      </c>
      <c r="C43" s="284"/>
      <c r="D43" s="350">
        <v>5900000</v>
      </c>
      <c r="E43" s="288"/>
      <c r="F43" s="333">
        <f t="shared" si="0"/>
        <v>5900000</v>
      </c>
      <c r="G43" s="249" t="s">
        <v>68</v>
      </c>
      <c r="H43" s="287"/>
      <c r="I43" s="287"/>
    </row>
    <row r="44" spans="1:9" s="52" customFormat="1" ht="12.75" x14ac:dyDescent="0.2">
      <c r="A44" s="14"/>
      <c r="B44" s="154" t="s">
        <v>101</v>
      </c>
      <c r="C44" s="284"/>
      <c r="D44" s="350">
        <v>10200000</v>
      </c>
      <c r="E44" s="288"/>
      <c r="F44" s="333">
        <f t="shared" si="0"/>
        <v>10200000</v>
      </c>
      <c r="G44" s="249" t="s">
        <v>112</v>
      </c>
      <c r="H44" s="287"/>
      <c r="I44" s="287"/>
    </row>
    <row r="45" spans="1:9" s="52" customFormat="1" ht="12.75" x14ac:dyDescent="0.2">
      <c r="A45" s="14"/>
      <c r="B45" s="154" t="s">
        <v>100</v>
      </c>
      <c r="C45" s="284"/>
      <c r="D45" s="350">
        <v>3500000</v>
      </c>
      <c r="E45" s="285"/>
      <c r="F45" s="333">
        <f t="shared" si="0"/>
        <v>3500000</v>
      </c>
      <c r="G45" s="249" t="s">
        <v>112</v>
      </c>
      <c r="H45" s="287"/>
      <c r="I45" s="287"/>
    </row>
    <row r="46" spans="1:9" s="52" customFormat="1" ht="12.75" x14ac:dyDescent="0.2">
      <c r="A46" s="14"/>
      <c r="B46" s="154" t="s">
        <v>102</v>
      </c>
      <c r="C46" s="284"/>
      <c r="D46" s="350">
        <v>6400000</v>
      </c>
      <c r="E46" s="285"/>
      <c r="F46" s="333">
        <f t="shared" si="0"/>
        <v>6400000</v>
      </c>
      <c r="G46" s="249" t="s">
        <v>112</v>
      </c>
      <c r="H46" s="287"/>
      <c r="I46" s="287"/>
    </row>
    <row r="47" spans="1:9" s="52" customFormat="1" ht="12.75" x14ac:dyDescent="0.2">
      <c r="A47" s="14"/>
      <c r="B47" s="154" t="s">
        <v>108</v>
      </c>
      <c r="C47" s="284"/>
      <c r="D47" s="350">
        <v>600000</v>
      </c>
      <c r="E47" s="285"/>
      <c r="F47" s="333">
        <f t="shared" si="0"/>
        <v>600000</v>
      </c>
      <c r="G47" s="249" t="s">
        <v>112</v>
      </c>
      <c r="H47" s="287"/>
      <c r="I47" s="287"/>
    </row>
    <row r="48" spans="1:9" s="52" customFormat="1" ht="12.75" x14ac:dyDescent="0.2">
      <c r="A48" s="14"/>
      <c r="B48" s="154" t="s">
        <v>99</v>
      </c>
      <c r="C48" s="284"/>
      <c r="D48" s="350">
        <v>4400000</v>
      </c>
      <c r="E48" s="285"/>
      <c r="F48" s="333">
        <f t="shared" si="0"/>
        <v>4400000</v>
      </c>
      <c r="G48" s="249" t="s">
        <v>68</v>
      </c>
      <c r="H48" s="287"/>
      <c r="I48" s="287"/>
    </row>
    <row r="49" spans="1:9" s="52" customFormat="1" ht="12.75" x14ac:dyDescent="0.2">
      <c r="A49" s="14"/>
      <c r="B49" s="154" t="s">
        <v>166</v>
      </c>
      <c r="C49" s="284"/>
      <c r="D49" s="350">
        <v>22000000</v>
      </c>
      <c r="E49" s="285"/>
      <c r="F49" s="333">
        <f t="shared" si="0"/>
        <v>22000000</v>
      </c>
      <c r="G49" s="249" t="s">
        <v>68</v>
      </c>
      <c r="H49" s="287"/>
      <c r="I49" s="287"/>
    </row>
    <row r="50" spans="1:9" s="52" customFormat="1" ht="12.75" x14ac:dyDescent="0.2">
      <c r="A50" s="14"/>
      <c r="B50" s="154" t="s">
        <v>167</v>
      </c>
      <c r="C50" s="284"/>
      <c r="D50" s="350">
        <v>-9700000</v>
      </c>
      <c r="E50" s="285"/>
      <c r="F50" s="333">
        <f t="shared" si="0"/>
        <v>-9700000</v>
      </c>
      <c r="G50" s="249" t="s">
        <v>68</v>
      </c>
      <c r="H50" s="287"/>
      <c r="I50" s="287"/>
    </row>
    <row r="51" spans="1:9" s="52" customFormat="1" ht="12.75" x14ac:dyDescent="0.2">
      <c r="A51" s="14"/>
      <c r="B51" s="417" t="s">
        <v>168</v>
      </c>
      <c r="C51" s="284"/>
      <c r="D51" s="350">
        <v>-500000</v>
      </c>
      <c r="E51" s="285"/>
      <c r="F51" s="333">
        <f t="shared" si="0"/>
        <v>-500000</v>
      </c>
      <c r="G51" s="249" t="s">
        <v>29</v>
      </c>
      <c r="H51" s="287"/>
      <c r="I51" s="287"/>
    </row>
    <row r="52" spans="1:9" s="13" customFormat="1" ht="12.75" x14ac:dyDescent="0.2">
      <c r="A52" s="14"/>
      <c r="B52" s="16" t="s">
        <v>90</v>
      </c>
      <c r="C52" s="39"/>
      <c r="D52" s="298">
        <f>SUM(D9:D51)</f>
        <v>222930000</v>
      </c>
      <c r="E52" s="298">
        <f>SUM(E9:E51)</f>
        <v>0</v>
      </c>
      <c r="F52" s="298">
        <f>SUM(F9:F51)</f>
        <v>222930000</v>
      </c>
      <c r="G52" s="49"/>
      <c r="H52" s="277"/>
      <c r="I52" s="277"/>
    </row>
    <row r="53" spans="1:9" s="13" customFormat="1" ht="12.75" x14ac:dyDescent="0.2">
      <c r="A53" s="14"/>
      <c r="B53" s="39"/>
      <c r="C53" s="39"/>
      <c r="D53" s="299"/>
      <c r="E53" s="299"/>
      <c r="F53" s="299"/>
      <c r="G53" s="80"/>
      <c r="H53" s="277"/>
      <c r="I53" s="277"/>
    </row>
    <row r="54" spans="1:9" s="13" customFormat="1" ht="12.75" x14ac:dyDescent="0.2">
      <c r="A54" s="14"/>
      <c r="B54" s="39"/>
      <c r="C54" s="39"/>
      <c r="D54" s="281"/>
      <c r="E54" s="281"/>
      <c r="F54" s="282"/>
      <c r="G54" s="80"/>
      <c r="H54" s="277"/>
      <c r="I54" s="277"/>
    </row>
    <row r="55" spans="1:9" s="13" customFormat="1" ht="15.75" x14ac:dyDescent="0.2">
      <c r="A55" s="14"/>
      <c r="B55" s="300" t="s">
        <v>87</v>
      </c>
      <c r="C55" s="39"/>
      <c r="D55" s="281"/>
      <c r="E55" s="281"/>
      <c r="F55" s="282"/>
      <c r="G55" s="80"/>
      <c r="H55" s="277"/>
      <c r="I55" s="277"/>
    </row>
    <row r="56" spans="1:9" s="15" customFormat="1" ht="25.5" x14ac:dyDescent="0.2">
      <c r="A56" s="14"/>
      <c r="B56" s="19" t="s">
        <v>0</v>
      </c>
      <c r="C56" s="16"/>
      <c r="D56" s="17" t="s">
        <v>4</v>
      </c>
      <c r="E56" s="18" t="s">
        <v>19</v>
      </c>
      <c r="F56" s="18" t="s">
        <v>20</v>
      </c>
      <c r="G56" s="18" t="s">
        <v>81</v>
      </c>
      <c r="H56" s="283"/>
      <c r="I56" s="283"/>
    </row>
    <row r="57" spans="1:9" s="52" customFormat="1" ht="12.75" x14ac:dyDescent="0.2">
      <c r="A57" s="14"/>
      <c r="B57" s="154" t="s">
        <v>119</v>
      </c>
      <c r="C57" s="284"/>
      <c r="D57" s="350">
        <v>56423729.439999998</v>
      </c>
      <c r="E57" s="285"/>
      <c r="F57" s="333">
        <f>D57</f>
        <v>56423729.439999998</v>
      </c>
      <c r="G57" s="249" t="str">
        <f>'TB Allocation Details'!C49</f>
        <v>TWh</v>
      </c>
      <c r="H57" s="287"/>
      <c r="I57" s="287"/>
    </row>
    <row r="58" spans="1:9" s="52" customFormat="1" ht="12.75" x14ac:dyDescent="0.2">
      <c r="A58" s="14"/>
      <c r="B58" s="154" t="s">
        <v>120</v>
      </c>
      <c r="C58" s="284"/>
      <c r="D58" s="350">
        <v>338405073.16000003</v>
      </c>
      <c r="E58" s="285"/>
      <c r="F58" s="333">
        <f>D58</f>
        <v>338405073.16000003</v>
      </c>
      <c r="G58" s="249" t="str">
        <f>'TB Allocation Details'!C50</f>
        <v>TWh</v>
      </c>
      <c r="H58" s="287"/>
      <c r="I58" s="287"/>
    </row>
    <row r="59" spans="1:9" s="52" customFormat="1" ht="12.75" x14ac:dyDescent="0.2">
      <c r="A59" s="14"/>
      <c r="B59" s="154" t="s">
        <v>121</v>
      </c>
      <c r="C59" s="284"/>
      <c r="D59" s="350">
        <v>77009333.519999996</v>
      </c>
      <c r="E59" s="285"/>
      <c r="F59" s="333">
        <f>D59</f>
        <v>77009333.519999996</v>
      </c>
      <c r="G59" s="249" t="str">
        <f>'TB Allocation Details'!C51</f>
        <v>TWh</v>
      </c>
      <c r="H59" s="287"/>
      <c r="I59" s="287"/>
    </row>
    <row r="60" spans="1:9" s="52" customFormat="1" ht="12.75" x14ac:dyDescent="0.2">
      <c r="A60" s="14"/>
      <c r="B60" s="154" t="s">
        <v>122</v>
      </c>
      <c r="C60" s="284"/>
      <c r="D60" s="350">
        <v>26492185.140000001</v>
      </c>
      <c r="E60" s="285"/>
      <c r="F60" s="333">
        <f>D60</f>
        <v>26492185.140000001</v>
      </c>
      <c r="G60" s="249" t="str">
        <f>'TB Allocation Details'!C52</f>
        <v>TWh</v>
      </c>
      <c r="H60" s="287"/>
      <c r="I60" s="287"/>
    </row>
    <row r="61" spans="1:9" s="52" customFormat="1" ht="12.75" x14ac:dyDescent="0.2">
      <c r="A61" s="14"/>
      <c r="B61" s="154" t="s">
        <v>57</v>
      </c>
      <c r="C61" s="284"/>
      <c r="D61" s="285">
        <v>-395683331.63999999</v>
      </c>
      <c r="E61" s="285"/>
      <c r="F61" s="286">
        <f>+D61+E61</f>
        <v>-395683331.63999999</v>
      </c>
      <c r="G61" s="249" t="str">
        <f>'TB Allocation Details'!C53</f>
        <v>Assets</v>
      </c>
      <c r="H61" s="287"/>
      <c r="I61" s="287"/>
    </row>
    <row r="62" spans="1:9" s="13" customFormat="1" ht="12.75" x14ac:dyDescent="0.2">
      <c r="A62" s="14"/>
      <c r="B62" s="16" t="s">
        <v>25</v>
      </c>
      <c r="C62" s="39"/>
      <c r="D62" s="298">
        <f>SUM(D57:D61)</f>
        <v>102646989.62</v>
      </c>
      <c r="E62" s="298">
        <f>SUM(E57:E61)</f>
        <v>0</v>
      </c>
      <c r="F62" s="298">
        <f>SUM(F57:F61)</f>
        <v>102646989.62</v>
      </c>
      <c r="G62" s="49"/>
      <c r="H62" s="277"/>
      <c r="I62" s="277"/>
    </row>
    <row r="63" spans="1:9" ht="20.45" customHeight="1" x14ac:dyDescent="0.2">
      <c r="B63" s="456" t="s">
        <v>98</v>
      </c>
      <c r="C63" s="456"/>
      <c r="D63" s="456"/>
    </row>
  </sheetData>
  <mergeCells count="3">
    <mergeCell ref="D5:E5"/>
    <mergeCell ref="D4:E4"/>
    <mergeCell ref="B63:D63"/>
  </mergeCells>
  <phoneticPr fontId="0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42"/>
  </sheetPr>
  <dimension ref="A1:K14"/>
  <sheetViews>
    <sheetView view="pageLayout" zoomScaleNormal="100" workbookViewId="0">
      <selection activeCell="H22" sqref="H22"/>
    </sheetView>
  </sheetViews>
  <sheetFormatPr defaultColWidth="9.140625" defaultRowHeight="11.25" x14ac:dyDescent="0.2"/>
  <cols>
    <col min="1" max="1" width="2.7109375" style="5" customWidth="1"/>
    <col min="2" max="2" width="34.5703125" style="1" customWidth="1"/>
    <col min="3" max="3" width="16.140625" style="40" customWidth="1"/>
    <col min="4" max="4" width="15.7109375" style="1" customWidth="1"/>
    <col min="5" max="6" width="15.7109375" style="22" customWidth="1"/>
    <col min="7" max="7" width="14.140625" style="1" customWidth="1"/>
    <col min="8" max="8" width="13.5703125" style="1" customWidth="1"/>
    <col min="9" max="9" width="13" style="1" customWidth="1"/>
    <col min="10" max="10" width="12.28515625" style="1" customWidth="1"/>
    <col min="11" max="11" width="10.28515625" style="1" bestFit="1" customWidth="1"/>
    <col min="12" max="12" width="12.42578125" style="1" customWidth="1"/>
    <col min="13" max="16384" width="9.140625" style="1"/>
  </cols>
  <sheetData>
    <row r="1" spans="1:11" ht="21" customHeight="1" x14ac:dyDescent="0.3">
      <c r="A1" s="1"/>
      <c r="B1" s="9" t="str">
        <f>"Asset Break Out Worksheet "</f>
        <v xml:space="preserve">Asset Break Out Worksheet </v>
      </c>
      <c r="C1" s="10"/>
      <c r="E1" s="439" t="str">
        <f>"IESO "&amp;'Revenue to Cost|RR'!H22&amp;" Fee Model"</f>
        <v>IESO 2024 Fee Model</v>
      </c>
      <c r="F1" s="1"/>
    </row>
    <row r="2" spans="1:11" ht="6" customHeight="1" x14ac:dyDescent="0.2">
      <c r="A2" s="2"/>
      <c r="B2" s="2"/>
      <c r="C2" s="2"/>
      <c r="D2" s="2"/>
      <c r="E2" s="2"/>
      <c r="F2" s="2"/>
    </row>
    <row r="3" spans="1:11" ht="21.75" customHeight="1" thickBot="1" x14ac:dyDescent="0.25">
      <c r="C3" s="20"/>
      <c r="D3" s="21"/>
    </row>
    <row r="4" spans="1:11" ht="18" customHeight="1" thickBot="1" x14ac:dyDescent="0.25">
      <c r="A4" s="180"/>
      <c r="B4" s="460" t="s">
        <v>96</v>
      </c>
      <c r="C4" s="457" t="s">
        <v>14</v>
      </c>
      <c r="D4" s="458"/>
      <c r="E4" s="459"/>
      <c r="F4" s="457" t="s">
        <v>15</v>
      </c>
      <c r="G4" s="458"/>
      <c r="H4" s="458"/>
      <c r="I4" s="459"/>
    </row>
    <row r="5" spans="1:11" ht="18" customHeight="1" x14ac:dyDescent="0.2">
      <c r="A5" s="180"/>
      <c r="B5" s="461"/>
      <c r="C5" s="462"/>
      <c r="D5" s="463"/>
      <c r="E5" s="464"/>
      <c r="F5" s="27"/>
      <c r="I5" s="294"/>
    </row>
    <row r="6" spans="1:11" s="29" customFormat="1" ht="60.75" customHeight="1" x14ac:dyDescent="0.2">
      <c r="A6" s="180"/>
      <c r="B6" s="23" t="s">
        <v>6</v>
      </c>
      <c r="C6" s="24" t="s">
        <v>11</v>
      </c>
      <c r="D6" s="25" t="s">
        <v>58</v>
      </c>
      <c r="E6" s="344" t="s">
        <v>13</v>
      </c>
      <c r="F6" s="24" t="s">
        <v>60</v>
      </c>
      <c r="G6" s="26" t="s">
        <v>61</v>
      </c>
      <c r="H6" s="26" t="s">
        <v>61</v>
      </c>
      <c r="I6" s="295" t="s">
        <v>18</v>
      </c>
      <c r="J6" s="51"/>
      <c r="K6" s="51"/>
    </row>
    <row r="7" spans="1:11" s="30" customFormat="1" ht="12.75" x14ac:dyDescent="0.2">
      <c r="A7" s="180"/>
      <c r="B7" s="28" t="str">
        <f>'Functionalized Accounts'!B57</f>
        <v>Assets - Assets</v>
      </c>
      <c r="C7" s="335">
        <f>+'Functionalized Accounts'!F57</f>
        <v>56423729.439999998</v>
      </c>
      <c r="D7" s="351">
        <v>-28494310.579999998</v>
      </c>
      <c r="E7" s="334">
        <f t="shared" ref="E7:E10" si="0">C7+D7</f>
        <v>27929418.859999999</v>
      </c>
      <c r="F7" s="337">
        <v>37</v>
      </c>
      <c r="G7" s="310">
        <f>MIN(C7/F7,E7)</f>
        <v>1524965.6605405405</v>
      </c>
      <c r="H7" s="293">
        <f>G7/G$12</f>
        <v>3.1749912468483237E-2</v>
      </c>
      <c r="I7" s="352">
        <f>I$14*G7/G$12</f>
        <v>698498.07430663123</v>
      </c>
      <c r="J7" s="150"/>
      <c r="K7" s="150"/>
    </row>
    <row r="8" spans="1:11" s="30" customFormat="1" ht="17.25" customHeight="1" x14ac:dyDescent="0.2">
      <c r="A8" s="180"/>
      <c r="B8" s="28" t="str">
        <f>'Functionalized Accounts'!B58</f>
        <v>Assets - Market systems &amp; applications</v>
      </c>
      <c r="C8" s="335">
        <f>+'Functionalized Accounts'!F58</f>
        <v>338405073.16000003</v>
      </c>
      <c r="D8" s="351">
        <v>-302900825.25999999</v>
      </c>
      <c r="E8" s="334">
        <f>C8+D8</f>
        <v>35504247.900000036</v>
      </c>
      <c r="F8" s="337">
        <f>AVERAGE(4,12)</f>
        <v>8</v>
      </c>
      <c r="G8" s="310">
        <f>MIN(C8/F8,E8)</f>
        <v>35504247.900000036</v>
      </c>
      <c r="H8" s="293">
        <f>G8/G$12</f>
        <v>0.73920140777777421</v>
      </c>
      <c r="I8" s="352">
        <f>I$14*G8/G$12</f>
        <v>16262430.971111033</v>
      </c>
      <c r="J8" s="150"/>
      <c r="K8" s="150"/>
    </row>
    <row r="9" spans="1:11" s="30" customFormat="1" ht="12.75" x14ac:dyDescent="0.2">
      <c r="A9" s="180"/>
      <c r="B9" s="28" t="str">
        <f>'Functionalized Accounts'!B59</f>
        <v>Assets - Infrastructure &amp; other assets</v>
      </c>
      <c r="C9" s="335">
        <f>+'Functionalized Accounts'!F59</f>
        <v>77009333.519999996</v>
      </c>
      <c r="D9" s="351">
        <v>-64288195.800000004</v>
      </c>
      <c r="E9" s="334">
        <f t="shared" si="0"/>
        <v>12721137.719999991</v>
      </c>
      <c r="F9" s="337">
        <f>AVERAGE(4,10)</f>
        <v>7</v>
      </c>
      <c r="G9" s="310">
        <f>MIN(C9/F9,E9)</f>
        <v>11001333.359999999</v>
      </c>
      <c r="H9" s="293">
        <f>G9/G$12</f>
        <v>0.22904867975374243</v>
      </c>
      <c r="I9" s="352">
        <f>I$14*G9/G$12</f>
        <v>5039070.9545823345</v>
      </c>
      <c r="J9" s="150"/>
      <c r="K9" s="150"/>
    </row>
    <row r="10" spans="1:11" s="30" customFormat="1" ht="13.5" thickBot="1" x14ac:dyDescent="0.25">
      <c r="A10" s="180"/>
      <c r="B10" s="28" t="str">
        <f>'Functionalized Accounts'!B60</f>
        <v>Assets - Assets Under Construction</v>
      </c>
      <c r="C10" s="336">
        <f>+'Functionalized Accounts'!F60</f>
        <v>26492185.140000001</v>
      </c>
      <c r="D10" s="297"/>
      <c r="E10" s="358">
        <f t="shared" si="0"/>
        <v>26492185.140000001</v>
      </c>
      <c r="F10" s="338"/>
      <c r="G10" s="311"/>
      <c r="H10" s="296">
        <f>G10/G$12</f>
        <v>0</v>
      </c>
      <c r="I10" s="339">
        <f>I$14*G10/G$12</f>
        <v>0</v>
      </c>
      <c r="J10" s="150"/>
      <c r="K10" s="150"/>
    </row>
    <row r="11" spans="1:11" s="30" customFormat="1" ht="13.5" thickBot="1" x14ac:dyDescent="0.25">
      <c r="A11" s="32"/>
      <c r="B11" s="33"/>
      <c r="C11" s="34"/>
      <c r="D11" s="35"/>
      <c r="E11" s="36"/>
      <c r="G11" s="52"/>
      <c r="H11" s="52"/>
      <c r="I11" s="37"/>
      <c r="J11" s="52"/>
      <c r="K11" s="52"/>
    </row>
    <row r="12" spans="1:11" s="30" customFormat="1" ht="13.5" thickBot="1" x14ac:dyDescent="0.25">
      <c r="A12" s="38"/>
      <c r="B12" s="302" t="s">
        <v>10</v>
      </c>
      <c r="C12" s="340">
        <f>SUM(C7:C10)</f>
        <v>498330321.25999999</v>
      </c>
      <c r="D12" s="341">
        <f>SUM(D7:D10)</f>
        <v>-395683331.63999999</v>
      </c>
      <c r="E12" s="342">
        <f>SUM(E7:E10)</f>
        <v>102646989.62000002</v>
      </c>
      <c r="F12" s="340"/>
      <c r="G12" s="340">
        <f>SUM(G7:G11)</f>
        <v>48030546.920540579</v>
      </c>
      <c r="H12" s="340"/>
      <c r="I12" s="343">
        <f>SUM(I7:I10)</f>
        <v>21999999.999999996</v>
      </c>
      <c r="J12" s="52"/>
      <c r="K12" s="52"/>
    </row>
    <row r="13" spans="1:11" ht="13.5" thickBot="1" x14ac:dyDescent="0.25">
      <c r="A13" s="38"/>
      <c r="B13" s="31" t="s">
        <v>2</v>
      </c>
      <c r="C13" s="307"/>
      <c r="D13" s="308"/>
      <c r="E13" s="309"/>
      <c r="F13" s="1"/>
      <c r="I13" s="301"/>
    </row>
    <row r="14" spans="1:11" ht="13.5" thickBot="1" x14ac:dyDescent="0.25">
      <c r="A14" s="38"/>
      <c r="B14" s="303" t="s">
        <v>89</v>
      </c>
      <c r="C14" s="304"/>
      <c r="D14" s="305">
        <f>ROUND('Functionalized Accounts'!F61,0)</f>
        <v>-395683332</v>
      </c>
      <c r="E14" s="340">
        <f>ROUND('Functionalized Accounts'!F62,0)</f>
        <v>102646990</v>
      </c>
      <c r="F14" s="304"/>
      <c r="G14" s="304"/>
      <c r="H14" s="304"/>
      <c r="I14" s="306">
        <f>'Functionalized Accounts'!F49</f>
        <v>22000000</v>
      </c>
    </row>
  </sheetData>
  <mergeCells count="4">
    <mergeCell ref="F4:I4"/>
    <mergeCell ref="B4:B5"/>
    <mergeCell ref="C4:E4"/>
    <mergeCell ref="C5:E5"/>
  </mergeCells>
  <phoneticPr fontId="8" type="noConversion"/>
  <pageMargins left="0.75" right="0.75" top="1" bottom="1" header="0.5" footer="0.5"/>
  <pageSetup scale="63" fitToHeight="5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2"/>
  </sheetPr>
  <dimension ref="A1:U22"/>
  <sheetViews>
    <sheetView view="pageLayout" zoomScaleNormal="100" workbookViewId="0">
      <selection activeCell="D13" sqref="D13"/>
    </sheetView>
  </sheetViews>
  <sheetFormatPr defaultColWidth="9.140625" defaultRowHeight="11.25" x14ac:dyDescent="0.2"/>
  <cols>
    <col min="1" max="1" width="32.140625" style="5" customWidth="1"/>
    <col min="2" max="2" width="15.7109375" style="42" customWidth="1"/>
    <col min="3" max="3" width="16" style="43" customWidth="1"/>
    <col min="4" max="4" width="11.7109375" style="43" bestFit="1" customWidth="1"/>
    <col min="5" max="5" width="16" style="43" customWidth="1"/>
    <col min="6" max="11" width="9.140625" style="43"/>
    <col min="12" max="16384" width="9.140625" style="5"/>
  </cols>
  <sheetData>
    <row r="1" spans="1:21" s="1" customFormat="1" ht="21" customHeight="1" x14ac:dyDescent="0.3">
      <c r="A1" s="44" t="str">
        <f>"Revenue Worksheet "</f>
        <v xml:space="preserve">Revenue Worksheet </v>
      </c>
      <c r="B1" s="45"/>
      <c r="C1" s="10"/>
      <c r="D1" s="440" t="str">
        <f>"IESO "&amp;'Revenue to Cost|RR'!H22&amp;" Fee Model"</f>
        <v>IESO 2024 Fee Model</v>
      </c>
    </row>
    <row r="2" spans="1:21" s="1" customFormat="1" ht="6" customHeight="1" x14ac:dyDescent="0.2">
      <c r="A2" s="2"/>
      <c r="B2" s="2"/>
      <c r="C2" s="2"/>
      <c r="D2" s="2"/>
    </row>
    <row r="4" spans="1:21" ht="2.25" customHeight="1" x14ac:dyDescent="0.2">
      <c r="A4" s="41"/>
      <c r="D4" s="5"/>
    </row>
    <row r="5" spans="1:21" ht="20.25" customHeight="1" x14ac:dyDescent="0.2">
      <c r="A5" s="46"/>
      <c r="D5" s="5"/>
      <c r="J5" s="5"/>
      <c r="K5" s="5"/>
    </row>
    <row r="6" spans="1:21" s="47" customFormat="1" ht="12.75" x14ac:dyDescent="0.2">
      <c r="C6" s="49">
        <v>1</v>
      </c>
      <c r="D6" s="49">
        <v>2</v>
      </c>
    </row>
    <row r="7" spans="1:21" s="136" customFormat="1" ht="45" customHeight="1" x14ac:dyDescent="0.2">
      <c r="B7" s="138" t="s">
        <v>10</v>
      </c>
      <c r="C7" s="316" t="s">
        <v>27</v>
      </c>
      <c r="D7" s="317" t="s">
        <v>28</v>
      </c>
      <c r="E7" s="137"/>
      <c r="F7" s="137"/>
      <c r="G7" s="137"/>
      <c r="H7" s="137"/>
      <c r="I7" s="137"/>
      <c r="J7" s="137"/>
      <c r="K7" s="137"/>
    </row>
    <row r="8" spans="1:21" ht="9.75" customHeight="1" x14ac:dyDescent="0.2">
      <c r="A8" s="465" t="s">
        <v>22</v>
      </c>
      <c r="B8" s="467"/>
      <c r="C8" s="467"/>
      <c r="D8" s="467"/>
    </row>
    <row r="9" spans="1:21" x14ac:dyDescent="0.2">
      <c r="A9" s="466"/>
      <c r="B9" s="468"/>
      <c r="C9" s="468"/>
      <c r="D9" s="468"/>
    </row>
    <row r="10" spans="1:21" ht="24" customHeight="1" x14ac:dyDescent="0.2">
      <c r="A10" s="140" t="s">
        <v>52</v>
      </c>
      <c r="B10" s="353">
        <v>154929766.65310961</v>
      </c>
      <c r="C10" s="233">
        <f>'Energy Throughput'!D12*1000000</f>
        <v>144966401.92222634</v>
      </c>
      <c r="D10" s="233">
        <f>'Energy Throughput'!E12*1000000</f>
        <v>9963364.7308832891</v>
      </c>
      <c r="E10" s="141"/>
      <c r="F10" s="141"/>
      <c r="G10" s="141"/>
      <c r="H10" s="141"/>
      <c r="I10" s="141"/>
      <c r="J10" s="141"/>
      <c r="K10" s="141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ht="6" customHeight="1" x14ac:dyDescent="0.2">
      <c r="A11" s="139"/>
      <c r="B11" s="142"/>
      <c r="C11" s="142"/>
      <c r="D11" s="142"/>
      <c r="E11" s="141"/>
      <c r="F11" s="141"/>
      <c r="G11" s="141"/>
      <c r="H11" s="141"/>
      <c r="I11" s="141"/>
      <c r="J11" s="141"/>
      <c r="K11" s="141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1" s="48" customFormat="1" ht="12.75" x14ac:dyDescent="0.2">
      <c r="A12" s="140" t="s">
        <v>118</v>
      </c>
      <c r="B12" s="145"/>
      <c r="C12" s="345">
        <f>'Revenue to Cost|RR'!I32</f>
        <v>1.3845000000000001</v>
      </c>
      <c r="D12" s="345">
        <f>'Revenue to Cost|RR'!I33</f>
        <v>1.0945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</row>
    <row r="13" spans="1:21" ht="6" customHeight="1" x14ac:dyDescent="0.2">
      <c r="A13" s="139"/>
      <c r="B13" s="142"/>
      <c r="C13" s="142"/>
      <c r="D13" s="142"/>
      <c r="E13" s="141"/>
      <c r="F13" s="141"/>
      <c r="G13" s="141"/>
      <c r="H13" s="141"/>
      <c r="I13" s="141"/>
      <c r="J13" s="141"/>
      <c r="K13" s="141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s="48" customFormat="1" ht="12.75" x14ac:dyDescent="0.2">
      <c r="A14" s="146" t="s">
        <v>24</v>
      </c>
      <c r="B14" s="346">
        <f>+SUM(C14:D14)</f>
        <v>211610886.15927413</v>
      </c>
      <c r="C14" s="147">
        <f>C10*C12</f>
        <v>200705983.46132237</v>
      </c>
      <c r="D14" s="147">
        <f>D10*D12</f>
        <v>10904902.69795176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</row>
    <row r="15" spans="1:21" ht="6" customHeight="1" x14ac:dyDescent="0.2">
      <c r="A15" s="139"/>
      <c r="B15" s="142"/>
      <c r="C15" s="143"/>
      <c r="D15" s="143"/>
      <c r="E15" s="141"/>
      <c r="F15" s="141"/>
      <c r="G15" s="141"/>
      <c r="H15" s="141"/>
      <c r="I15" s="141"/>
      <c r="J15" s="141"/>
      <c r="K15" s="141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7" spans="1:4" x14ac:dyDescent="0.2">
      <c r="A17" s="469" t="s">
        <v>123</v>
      </c>
    </row>
    <row r="18" spans="1:4" ht="11.25" customHeight="1" x14ac:dyDescent="0.2">
      <c r="A18" s="466" t="s">
        <v>47</v>
      </c>
    </row>
    <row r="19" spans="1:4" ht="12.75" customHeight="1" x14ac:dyDescent="0.2">
      <c r="A19" s="140" t="s">
        <v>48</v>
      </c>
      <c r="B19" s="346">
        <f>'Functionalized Accounts'!F4</f>
        <v>222930000</v>
      </c>
      <c r="C19" s="147"/>
      <c r="D19" s="147"/>
    </row>
    <row r="20" spans="1:4" ht="12.75" customHeight="1" x14ac:dyDescent="0.2">
      <c r="A20" s="140" t="s">
        <v>49</v>
      </c>
      <c r="B20" s="145"/>
      <c r="C20" s="232">
        <f>B19/B10</f>
        <v>1.4389100610933216</v>
      </c>
      <c r="D20" s="232">
        <f>C20</f>
        <v>1.4389100610933216</v>
      </c>
    </row>
    <row r="21" spans="1:4" ht="12.75" customHeight="1" x14ac:dyDescent="0.2">
      <c r="A21" s="140" t="s">
        <v>50</v>
      </c>
      <c r="B21" s="145"/>
      <c r="C21" s="147">
        <f>C20*C10</f>
        <v>208593614.24638972</v>
      </c>
      <c r="D21" s="147">
        <f>D20*D10</f>
        <v>14336385.75361032</v>
      </c>
    </row>
    <row r="22" spans="1:4" ht="12.75" x14ac:dyDescent="0.2">
      <c r="A22" s="139"/>
      <c r="B22" s="142"/>
      <c r="C22" s="143"/>
      <c r="D22" s="143"/>
    </row>
  </sheetData>
  <mergeCells count="3">
    <mergeCell ref="A8:A9"/>
    <mergeCell ref="B8:D9"/>
    <mergeCell ref="A17:A18"/>
  </mergeCells>
  <phoneticPr fontId="38" type="noConversion"/>
  <pageMargins left="0.75" right="0.75" top="1" bottom="1" header="0.5" footer="0.5"/>
  <pageSetup scale="63" fitToHeight="5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2"/>
  </sheetPr>
  <dimension ref="A1:E18"/>
  <sheetViews>
    <sheetView view="pageLayout" zoomScaleNormal="100" workbookViewId="0">
      <selection activeCell="C28" sqref="C28"/>
    </sheetView>
  </sheetViews>
  <sheetFormatPr defaultColWidth="8.42578125" defaultRowHeight="11.25" x14ac:dyDescent="0.2"/>
  <cols>
    <col min="1" max="1" width="23.85546875" style="43" customWidth="1"/>
    <col min="2" max="2" width="12.5703125" style="43" customWidth="1"/>
    <col min="3" max="4" width="15.7109375" style="62" customWidth="1"/>
    <col min="5" max="5" width="13.28515625" style="62" customWidth="1"/>
    <col min="6" max="6" width="11.28515625" style="62" customWidth="1"/>
    <col min="7" max="16384" width="8.42578125" style="62"/>
  </cols>
  <sheetData>
    <row r="1" spans="1:5" s="1" customFormat="1" ht="21" customHeight="1" x14ac:dyDescent="0.3">
      <c r="A1" s="44" t="str">
        <f>"Demand Data Worksheet "</f>
        <v xml:space="preserve">Demand Data Worksheet </v>
      </c>
      <c r="B1" s="45"/>
      <c r="C1" s="45"/>
      <c r="E1" s="440" t="str">
        <f>"IESO "&amp;'Revenue to Cost|RR'!H22&amp;" Fee Model"</f>
        <v>IESO 2024 Fee Model</v>
      </c>
    </row>
    <row r="2" spans="1:5" s="1" customFormat="1" ht="6" customHeight="1" x14ac:dyDescent="0.2">
      <c r="A2" s="2"/>
      <c r="B2" s="2"/>
      <c r="C2" s="2"/>
      <c r="D2" s="2"/>
      <c r="E2" s="2"/>
    </row>
    <row r="3" spans="1:5" ht="12" thickBot="1" x14ac:dyDescent="0.25"/>
    <row r="4" spans="1:5" ht="19.5" customHeight="1" thickBot="1" x14ac:dyDescent="0.25">
      <c r="D4" s="67">
        <v>1</v>
      </c>
      <c r="E4" s="68">
        <v>2</v>
      </c>
    </row>
    <row r="5" spans="1:5" ht="16.5" thickBot="1" x14ac:dyDescent="0.3">
      <c r="A5" s="472" t="s">
        <v>9</v>
      </c>
      <c r="B5" s="472"/>
      <c r="C5" s="65" t="s">
        <v>10</v>
      </c>
      <c r="D5" s="196" t="str">
        <f>Revenue!C7</f>
        <v>Domestic</v>
      </c>
      <c r="E5" s="64" t="str">
        <f>Revenue!D7</f>
        <v>Export</v>
      </c>
    </row>
    <row r="6" spans="1:5" ht="12" thickBot="1" x14ac:dyDescent="0.25">
      <c r="C6" s="234"/>
      <c r="D6" s="325"/>
      <c r="E6" s="235"/>
    </row>
    <row r="7" spans="1:5" ht="14.25" thickTop="1" thickBot="1" x14ac:dyDescent="0.25">
      <c r="A7" s="470" t="s">
        <v>38</v>
      </c>
      <c r="B7" s="471"/>
      <c r="C7" s="66"/>
      <c r="D7" s="326"/>
      <c r="E7" s="63"/>
    </row>
    <row r="8" spans="1:5" x14ac:dyDescent="0.2">
      <c r="A8" s="443"/>
      <c r="B8" s="444"/>
      <c r="C8" s="66"/>
      <c r="D8" s="326"/>
      <c r="E8" s="63"/>
    </row>
    <row r="9" spans="1:5" ht="12.75" x14ac:dyDescent="0.2">
      <c r="A9" s="156" t="s">
        <v>111</v>
      </c>
      <c r="B9" s="445"/>
      <c r="C9" s="347">
        <f>SUM(D9:E9)</f>
        <v>150.26544900280987</v>
      </c>
      <c r="D9" s="354">
        <v>140.09344900280988</v>
      </c>
      <c r="E9" s="396">
        <v>10.172000000000001</v>
      </c>
    </row>
    <row r="10" spans="1:5" ht="12.75" x14ac:dyDescent="0.2">
      <c r="A10" s="156" t="s">
        <v>77</v>
      </c>
      <c r="B10" s="445"/>
      <c r="C10" s="354">
        <v>-3.082055878061817</v>
      </c>
      <c r="D10" s="327">
        <f>C10*D9/C9</f>
        <v>-2.8734206089451053</v>
      </c>
      <c r="E10" s="328">
        <f>C10*E9/C9</f>
        <v>-0.20863526911671201</v>
      </c>
    </row>
    <row r="11" spans="1:5" ht="12.75" x14ac:dyDescent="0.2">
      <c r="A11" s="156" t="s">
        <v>78</v>
      </c>
      <c r="B11" s="445"/>
      <c r="C11" s="355">
        <v>7.7463735283615733</v>
      </c>
      <c r="D11" s="329">
        <f>C11</f>
        <v>7.7463735283615733</v>
      </c>
      <c r="E11" s="330"/>
    </row>
    <row r="12" spans="1:5" ht="12.75" x14ac:dyDescent="0.2">
      <c r="A12" s="156" t="s">
        <v>52</v>
      </c>
      <c r="B12" s="446" t="s">
        <v>68</v>
      </c>
      <c r="C12" s="348">
        <f>SUM(D12:E12)</f>
        <v>154.92976665310962</v>
      </c>
      <c r="D12" s="329">
        <f>SUM(D9:D11)</f>
        <v>144.96640192222634</v>
      </c>
      <c r="E12" s="330">
        <f>SUM(E9:E11)</f>
        <v>9.9633647308832884</v>
      </c>
    </row>
    <row r="13" spans="1:5" ht="13.5" thickBot="1" x14ac:dyDescent="0.25">
      <c r="A13" s="447" t="s">
        <v>39</v>
      </c>
      <c r="B13" s="448" t="s">
        <v>73</v>
      </c>
      <c r="C13" s="349">
        <f>SUM(D13:E13)</f>
        <v>144.96640192222634</v>
      </c>
      <c r="D13" s="331">
        <f>D12</f>
        <v>144.96640192222634</v>
      </c>
      <c r="E13" s="332"/>
    </row>
    <row r="14" spans="1:5" x14ac:dyDescent="0.2">
      <c r="C14" s="236"/>
      <c r="D14" s="236"/>
      <c r="E14" s="236"/>
    </row>
    <row r="15" spans="1:5" x14ac:dyDescent="0.2">
      <c r="C15" s="473" t="str">
        <f>IF(C12*1000000=Revenue!B10,"Gross MWh Matches 'Revenue' MWh","'Energy Throughput' MWh Does Not Match 'Revenue' MWh")</f>
        <v>Gross MWh Matches 'Revenue' MWh</v>
      </c>
      <c r="D15" s="473"/>
      <c r="E15" s="473"/>
    </row>
    <row r="18" spans="4:4" x14ac:dyDescent="0.2">
      <c r="D18" s="324"/>
    </row>
  </sheetData>
  <mergeCells count="3">
    <mergeCell ref="A7:B7"/>
    <mergeCell ref="A5:B5"/>
    <mergeCell ref="C15:E15"/>
  </mergeCells>
  <phoneticPr fontId="0" type="noConversion"/>
  <conditionalFormatting sqref="C15">
    <cfRule type="cellIs" dxfId="2" priority="1" operator="equal">
      <formula>"'Energy Throughput' MWh Does Not Match 'Revenue' MWh"</formula>
    </cfRule>
  </conditionalFormatting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9"/>
  </sheetPr>
  <dimension ref="A1:K53"/>
  <sheetViews>
    <sheetView view="pageLayout" topLeftCell="H1" zoomScaleNormal="100" workbookViewId="0">
      <selection activeCell="H12" sqref="H12"/>
    </sheetView>
  </sheetViews>
  <sheetFormatPr defaultColWidth="9.140625" defaultRowHeight="11.25" x14ac:dyDescent="0.2"/>
  <cols>
    <col min="1" max="1" width="10.5703125" style="58" customWidth="1"/>
    <col min="2" max="2" width="54.28515625" style="6" customWidth="1"/>
    <col min="3" max="3" width="15.7109375" style="71" customWidth="1"/>
    <col min="4" max="4" width="15.7109375" style="72" customWidth="1"/>
    <col min="5" max="5" width="15" style="72" bestFit="1" customWidth="1"/>
    <col min="6" max="6" width="12.28515625" style="6" customWidth="1"/>
    <col min="7" max="7" width="9.28515625" style="6" bestFit="1" customWidth="1"/>
    <col min="8" max="8" width="16.7109375" style="6" customWidth="1"/>
    <col min="9" max="9" width="13.5703125" style="6" customWidth="1"/>
    <col min="10" max="10" width="10" style="6" bestFit="1" customWidth="1"/>
    <col min="11" max="11" width="9" style="6" bestFit="1" customWidth="1"/>
    <col min="12" max="12" width="10" style="6" bestFit="1" customWidth="1"/>
    <col min="13" max="13" width="9.85546875" style="6" customWidth="1"/>
    <col min="14" max="14" width="12" style="6" bestFit="1" customWidth="1"/>
    <col min="15" max="16384" width="9.140625" style="6"/>
  </cols>
  <sheetData>
    <row r="1" spans="1:5" s="1" customFormat="1" ht="21" customHeight="1" x14ac:dyDescent="0.3">
      <c r="A1" s="44" t="str">
        <f>"Revenue to Cost Summary Worksheet "</f>
        <v xml:space="preserve">Revenue to Cost Summary Worksheet </v>
      </c>
      <c r="B1" s="45"/>
      <c r="C1" s="47"/>
      <c r="D1" s="47"/>
      <c r="E1" s="441" t="str">
        <f>"IESO "&amp;'Revenue to Cost|RR'!H22&amp;" Fee Model"</f>
        <v>IESO 2024 Fee Model</v>
      </c>
    </row>
    <row r="2" spans="1:5" s="1" customFormat="1" ht="6" customHeight="1" x14ac:dyDescent="0.2">
      <c r="A2" s="2"/>
      <c r="B2" s="2"/>
      <c r="C2" s="69"/>
      <c r="D2" s="69"/>
      <c r="E2" s="2"/>
    </row>
    <row r="3" spans="1:5" ht="12" customHeight="1" x14ac:dyDescent="0.2"/>
    <row r="4" spans="1:5" ht="12" customHeight="1" x14ac:dyDescent="0.2">
      <c r="A4" s="73"/>
      <c r="B4" s="74"/>
    </row>
    <row r="5" spans="1:5" x14ac:dyDescent="0.2">
      <c r="B5" s="4"/>
      <c r="C5" s="4"/>
      <c r="D5" s="4"/>
      <c r="E5" s="4"/>
    </row>
    <row r="6" spans="1:5" ht="15.95" customHeight="1" thickBot="1" x14ac:dyDescent="0.25">
      <c r="A6" s="75"/>
      <c r="B6" s="76"/>
      <c r="C6" s="479"/>
      <c r="D6" s="479"/>
      <c r="E6" s="479"/>
    </row>
    <row r="7" spans="1:5" ht="15.95" customHeight="1" x14ac:dyDescent="0.2">
      <c r="A7" s="75"/>
      <c r="B7" s="76"/>
      <c r="C7" s="81"/>
      <c r="D7" s="82">
        <v>1</v>
      </c>
      <c r="E7" s="82">
        <v>2</v>
      </c>
    </row>
    <row r="8" spans="1:5" ht="12.75" customHeight="1" x14ac:dyDescent="0.2">
      <c r="A8" s="79"/>
      <c r="B8" s="70"/>
      <c r="C8" s="86" t="s">
        <v>10</v>
      </c>
      <c r="D8" s="318" t="str">
        <f>Revenue!C7</f>
        <v>Domestic</v>
      </c>
      <c r="E8" s="318" t="str">
        <f>Revenue!D7</f>
        <v>Export</v>
      </c>
    </row>
    <row r="9" spans="1:5" ht="12.75" x14ac:dyDescent="0.2">
      <c r="A9" s="79"/>
      <c r="B9" s="70"/>
      <c r="C9" s="86"/>
      <c r="D9" s="189"/>
      <c r="E9" s="189"/>
    </row>
    <row r="10" spans="1:5" ht="12.75" x14ac:dyDescent="0.2">
      <c r="A10" s="79"/>
      <c r="B10" s="223" t="s">
        <v>42</v>
      </c>
      <c r="C10" s="87">
        <f>SUM(D10:E10)</f>
        <v>211610886.15927413</v>
      </c>
      <c r="D10" s="83">
        <f>Revenue!C14</f>
        <v>200705983.46132237</v>
      </c>
      <c r="E10" s="83">
        <f>Revenue!D14</f>
        <v>10904902.69795176</v>
      </c>
    </row>
    <row r="11" spans="1:5" ht="12.75" x14ac:dyDescent="0.2">
      <c r="A11" s="79"/>
      <c r="B11" s="224" t="s">
        <v>97</v>
      </c>
      <c r="C11" s="225">
        <f>C31/C10</f>
        <v>1.0558530520581533</v>
      </c>
      <c r="D11" s="189"/>
      <c r="E11" s="189"/>
    </row>
    <row r="12" spans="1:5" ht="12.75" x14ac:dyDescent="0.2">
      <c r="A12" s="79"/>
      <c r="B12" s="223" t="s">
        <v>51</v>
      </c>
      <c r="C12" s="87">
        <f>SUM(D12:E12)</f>
        <v>223430000.00000003</v>
      </c>
      <c r="D12" s="83">
        <f>D10*$C11</f>
        <v>211916025.20397046</v>
      </c>
      <c r="E12" s="83">
        <f>E10*$C11</f>
        <v>11513974.796029557</v>
      </c>
    </row>
    <row r="13" spans="1:5" ht="12.75" x14ac:dyDescent="0.2">
      <c r="A13" s="79"/>
      <c r="B13" s="223"/>
      <c r="C13" s="87"/>
      <c r="D13" s="83"/>
      <c r="E13" s="83"/>
    </row>
    <row r="14" spans="1:5" ht="12.75" x14ac:dyDescent="0.2">
      <c r="A14" s="79"/>
      <c r="B14" s="223" t="s">
        <v>43</v>
      </c>
      <c r="C14" s="87">
        <f>SUM(D14:E14)</f>
        <v>222930000.00000003</v>
      </c>
      <c r="D14" s="83">
        <f>Revenue!C21</f>
        <v>208593614.24638972</v>
      </c>
      <c r="E14" s="83">
        <f>Revenue!D21</f>
        <v>14336385.75361032</v>
      </c>
    </row>
    <row r="15" spans="1:5" ht="12.75" x14ac:dyDescent="0.2">
      <c r="A15" s="79"/>
      <c r="B15" s="70"/>
      <c r="C15" s="86"/>
      <c r="D15" s="189"/>
      <c r="E15" s="189"/>
    </row>
    <row r="16" spans="1:5" ht="12.75" x14ac:dyDescent="0.2">
      <c r="A16" s="79"/>
      <c r="B16" s="70"/>
      <c r="C16" s="86"/>
      <c r="D16" s="189"/>
      <c r="E16" s="189"/>
    </row>
    <row r="17" spans="1:11" ht="12.75" x14ac:dyDescent="0.2">
      <c r="A17" s="88"/>
      <c r="B17" s="90" t="s">
        <v>12</v>
      </c>
      <c r="C17" s="87"/>
      <c r="D17" s="83"/>
      <c r="E17" s="83"/>
    </row>
    <row r="18" spans="1:11" ht="12.75" x14ac:dyDescent="0.2">
      <c r="A18" s="88" t="s">
        <v>62</v>
      </c>
      <c r="B18" s="188" t="s">
        <v>62</v>
      </c>
      <c r="C18" s="87">
        <f>SUM(D18:E18)</f>
        <v>1500000</v>
      </c>
      <c r="D18" s="83">
        <f>SUMIF('Summary by Class &amp; Accounts'!$C$9:$C$56, 'Revenue to Cost|RR'!$A18,'Summary by Class &amp; Accounts'!E$9:E$56)</f>
        <v>1416796.4340286737</v>
      </c>
      <c r="E18" s="83">
        <f>SUMIF('Summary by Class &amp; Accounts'!$C$9:$C$56, 'Revenue to Cost|RR'!$A18,'Summary by Class &amp; Accounts'!F$9:F$56)</f>
        <v>83203.56597132633</v>
      </c>
    </row>
    <row r="19" spans="1:11" ht="12.75" x14ac:dyDescent="0.2">
      <c r="A19" s="88" t="s">
        <v>169</v>
      </c>
      <c r="B19" s="188" t="s">
        <v>173</v>
      </c>
      <c r="C19" s="87">
        <f t="shared" ref="C19:C28" si="0">SUM(D19:E19)</f>
        <v>40300000</v>
      </c>
      <c r="D19" s="83">
        <f>SUMIF('Summary by Class &amp; Accounts'!$C$9:$C$56, 'Revenue to Cost|RR'!$A19,'Summary by Class &amp; Accounts'!E$9:E$56)</f>
        <v>37708350.846137822</v>
      </c>
      <c r="E19" s="83">
        <f>SUMIF('Summary by Class &amp; Accounts'!$C$9:$C$56, 'Revenue to Cost|RR'!$A19,'Summary by Class &amp; Accounts'!F$9:F$56)</f>
        <v>2591649.1538621802</v>
      </c>
    </row>
    <row r="20" spans="1:11" ht="12.75" x14ac:dyDescent="0.2">
      <c r="A20" s="88" t="s">
        <v>170</v>
      </c>
      <c r="B20" s="188" t="s">
        <v>174</v>
      </c>
      <c r="C20" s="87">
        <f t="shared" si="0"/>
        <v>28230000</v>
      </c>
      <c r="D20" s="83">
        <f>SUMIF('Summary by Class &amp; Accounts'!$C$9:$C$56, 'Revenue to Cost|RR'!$A20,'Summary by Class &amp; Accounts'!E$9:E$56)</f>
        <v>28230000</v>
      </c>
      <c r="E20" s="83">
        <f>SUMIF('Summary by Class &amp; Accounts'!$C$9:$C$56, 'Revenue to Cost|RR'!$A20,'Summary by Class &amp; Accounts'!F$9:F$56)</f>
        <v>0</v>
      </c>
    </row>
    <row r="21" spans="1:11" ht="13.5" thickBot="1" x14ac:dyDescent="0.25">
      <c r="A21" s="88" t="s">
        <v>171</v>
      </c>
      <c r="B21" s="188" t="s">
        <v>175</v>
      </c>
      <c r="C21" s="87">
        <f>SUM(D21:E21)</f>
        <v>16660000</v>
      </c>
      <c r="D21" s="83">
        <f>SUMIF('Summary by Class &amp; Accounts'!$C$9:$C$56, 'Revenue to Cost|RR'!$A21,'Summary by Class &amp; Accounts'!E$9:E$56)</f>
        <v>16660000</v>
      </c>
      <c r="E21" s="83">
        <f>SUMIF('Summary by Class &amp; Accounts'!$C$9:$C$56, 'Revenue to Cost|RR'!$A21,'Summary by Class &amp; Accounts'!F$9:F$56)</f>
        <v>0</v>
      </c>
    </row>
    <row r="22" spans="1:11" ht="13.5" thickBot="1" x14ac:dyDescent="0.25">
      <c r="A22" s="88" t="s">
        <v>67</v>
      </c>
      <c r="B22" s="188" t="s">
        <v>179</v>
      </c>
      <c r="C22" s="87">
        <f t="shared" si="0"/>
        <v>49400000.000000007</v>
      </c>
      <c r="D22" s="83">
        <f>SUMIF('Summary by Class &amp; Accounts'!$C$9:$C$56, 'Revenue to Cost|RR'!$A22,'Summary by Class &amp; Accounts'!E$9:E$56)</f>
        <v>46659829.227344327</v>
      </c>
      <c r="E22" s="83">
        <f>SUMIF('Summary by Class &amp; Accounts'!$C$9:$C$56, 'Revenue to Cost|RR'!$A22,'Summary by Class &amp; Accounts'!F$9:F$56)</f>
        <v>2740170.7726556803</v>
      </c>
      <c r="G22" s="411" t="s">
        <v>135</v>
      </c>
      <c r="H22" s="412">
        <v>2024</v>
      </c>
      <c r="J22" s="436"/>
    </row>
    <row r="23" spans="1:11" ht="13.5" thickBot="1" x14ac:dyDescent="0.25">
      <c r="A23" s="88" t="s">
        <v>105</v>
      </c>
      <c r="B23" s="188" t="s">
        <v>180</v>
      </c>
      <c r="C23" s="87">
        <f t="shared" si="0"/>
        <v>30940000.000000011</v>
      </c>
      <c r="D23" s="83">
        <f>SUMIF('Summary by Class &amp; Accounts'!$C$9:$C$56, 'Revenue to Cost|RR'!$A23,'Summary by Class &amp; Accounts'!E$9:E$56)</f>
        <v>27203179.387090065</v>
      </c>
      <c r="E23" s="83">
        <f>SUMIF('Summary by Class &amp; Accounts'!$C$9:$C$56, 'Revenue to Cost|RR'!$A23,'Summary by Class &amp; Accounts'!F$9:F$56)</f>
        <v>3736820.6129099475</v>
      </c>
    </row>
    <row r="24" spans="1:11" ht="13.5" thickBot="1" x14ac:dyDescent="0.25">
      <c r="A24" s="88" t="s">
        <v>63</v>
      </c>
      <c r="B24" s="188" t="s">
        <v>66</v>
      </c>
      <c r="C24" s="87">
        <f t="shared" si="0"/>
        <v>30200000.000000007</v>
      </c>
      <c r="D24" s="83">
        <f>SUMIF('Summary by Class &amp; Accounts'!$C$9:$C$56, 'Revenue to Cost|RR'!$A24,'Summary by Class &amp; Accounts'!E$9:E$56)</f>
        <v>28471622.449993342</v>
      </c>
      <c r="E24" s="83">
        <f>SUMIF('Summary by Class &amp; Accounts'!$C$9:$C$56, 'Revenue to Cost|RR'!$A24,'Summary by Class &amp; Accounts'!F$9:F$56)</f>
        <v>1728377.5500066644</v>
      </c>
      <c r="G24" s="408"/>
      <c r="H24" s="405" t="s">
        <v>136</v>
      </c>
    </row>
    <row r="25" spans="1:11" ht="12.75" x14ac:dyDescent="0.2">
      <c r="A25" s="88" t="s">
        <v>56</v>
      </c>
      <c r="B25" s="188" t="s">
        <v>103</v>
      </c>
      <c r="C25" s="87">
        <f t="shared" si="0"/>
        <v>2500000</v>
      </c>
      <c r="D25" s="83">
        <f>SUMIF('Summary by Class &amp; Accounts'!$C$9:$C$56, 'Revenue to Cost|RR'!$A25,'Summary by Class &amp; Accounts'!E$9:E$56)</f>
        <v>2339227.7199837356</v>
      </c>
      <c r="E25" s="83">
        <f>SUMIF('Summary by Class &amp; Accounts'!$C$9:$C$56, 'Revenue to Cost|RR'!$A25,'Summary by Class &amp; Accounts'!F$9:F$56)</f>
        <v>160772.28001626427</v>
      </c>
      <c r="G25" s="409" t="str">
        <f>D8</f>
        <v>Domestic</v>
      </c>
      <c r="H25" s="406">
        <f>D43</f>
        <v>1.4515554027414979</v>
      </c>
    </row>
    <row r="26" spans="1:11" ht="13.5" thickBot="1" x14ac:dyDescent="0.25">
      <c r="A26" s="88" t="s">
        <v>107</v>
      </c>
      <c r="B26" s="188" t="s">
        <v>99</v>
      </c>
      <c r="C26" s="87">
        <f t="shared" si="0"/>
        <v>4400000</v>
      </c>
      <c r="D26" s="83">
        <f>SUMIF('Summary by Class &amp; Accounts'!$C$9:$C$56, 'Revenue to Cost|RR'!$A26,'Summary by Class &amp; Accounts'!E$9:E$56)</f>
        <v>4117040.787171375</v>
      </c>
      <c r="E26" s="83">
        <f>SUMIF('Summary by Class &amp; Accounts'!$C$9:$C$56, 'Revenue to Cost|RR'!$A26,'Summary by Class &amp; Accounts'!F$9:F$56)</f>
        <v>282959.21282862511</v>
      </c>
      <c r="G26" s="410" t="str">
        <f>E8</f>
        <v>Export</v>
      </c>
      <c r="H26" s="407">
        <f>E43</f>
        <v>1.2549210443978638</v>
      </c>
    </row>
    <row r="27" spans="1:11" ht="12.75" x14ac:dyDescent="0.2">
      <c r="A27" s="88" t="s">
        <v>106</v>
      </c>
      <c r="B27" s="188" t="s">
        <v>102</v>
      </c>
      <c r="C27" s="87">
        <f t="shared" ref="C27" si="1">SUM(D27:E27)</f>
        <v>6400000</v>
      </c>
      <c r="D27" s="83">
        <f>SUMIF('Summary by Class &amp; Accounts'!$C$9:$C$56, 'Revenue to Cost|RR'!$A27,'Summary by Class &amp; Accounts'!E$9:E$56)</f>
        <v>6044998.1185223414</v>
      </c>
      <c r="E27" s="83">
        <f>SUMIF('Summary by Class &amp; Accounts'!$C$9:$C$56, 'Revenue to Cost|RR'!$A27,'Summary by Class &amp; Accounts'!F$9:F$56)</f>
        <v>355001.88147765899</v>
      </c>
      <c r="G27" s="415"/>
      <c r="H27" s="416"/>
    </row>
    <row r="28" spans="1:11" ht="12.75" x14ac:dyDescent="0.2">
      <c r="A28" s="88" t="s">
        <v>64</v>
      </c>
      <c r="B28" s="188" t="s">
        <v>108</v>
      </c>
      <c r="C28" s="87">
        <f t="shared" si="0"/>
        <v>600000</v>
      </c>
      <c r="D28" s="83">
        <f>SUMIF('Summary by Class &amp; Accounts'!$C$9:$C$56, 'Revenue to Cost|RR'!$A28,'Summary by Class &amp; Accounts'!E$9:E$56)</f>
        <v>566718.57361146947</v>
      </c>
      <c r="E28" s="83">
        <f>SUMIF('Summary by Class &amp; Accounts'!$C$9:$C$56, 'Revenue to Cost|RR'!$A28,'Summary by Class &amp; Accounts'!F$9:F$56)</f>
        <v>33281.426388530534</v>
      </c>
    </row>
    <row r="29" spans="1:11" ht="13.5" thickBot="1" x14ac:dyDescent="0.25">
      <c r="A29" s="88" t="s">
        <v>59</v>
      </c>
      <c r="B29" s="188" t="s">
        <v>109</v>
      </c>
      <c r="C29" s="87">
        <f>SUM(D29:E29)</f>
        <v>-9700000.0000000019</v>
      </c>
      <c r="D29" s="83">
        <f>SUMIF('Summary by Class &amp; Accounts'!$C$9:$C$56, 'Revenue to Cost|RR'!$A29,'Summary by Class &amp; Accounts'!E$9:E$56)</f>
        <v>-9076203.5535368957</v>
      </c>
      <c r="E29" s="83">
        <f>SUMIF('Summary by Class &amp; Accounts'!$C$9:$C$56, 'Revenue to Cost|RR'!$A29,'Summary by Class &amp; Accounts'!F$9:F$56)</f>
        <v>-623796.44646310539</v>
      </c>
    </row>
    <row r="30" spans="1:11" ht="13.5" thickBot="1" x14ac:dyDescent="0.25">
      <c r="A30" s="88" t="s">
        <v>31</v>
      </c>
      <c r="B30" s="188" t="s">
        <v>110</v>
      </c>
      <c r="C30" s="87">
        <f>SUM(D30:E30)</f>
        <v>22000000</v>
      </c>
      <c r="D30" s="83">
        <f>SUMIF('Summary by Class &amp; Accounts'!$C$9:$C$56, 'Revenue to Cost|RR'!$A30,'Summary by Class &amp; Accounts'!E$9:E$56)</f>
        <v>20585203.935856875</v>
      </c>
      <c r="E30" s="83">
        <f>SUMIF('Summary by Class &amp; Accounts'!$C$9:$C$56, 'Revenue to Cost|RR'!$A30,'Summary by Class &amp; Accounts'!F$9:F$56)</f>
        <v>1414796.0641431257</v>
      </c>
      <c r="G30" s="411" t="s">
        <v>135</v>
      </c>
      <c r="H30" s="437">
        <v>2022</v>
      </c>
      <c r="I30" s="437">
        <v>2023</v>
      </c>
      <c r="J30" s="437">
        <v>2024</v>
      </c>
      <c r="K30" s="437">
        <v>2025</v>
      </c>
    </row>
    <row r="31" spans="1:11" s="4" customFormat="1" ht="13.5" thickBot="1" x14ac:dyDescent="0.25">
      <c r="A31" s="88"/>
      <c r="B31" s="90" t="s">
        <v>48</v>
      </c>
      <c r="C31" s="221">
        <f>SUM(C18:C30)</f>
        <v>223430000</v>
      </c>
      <c r="D31" s="222">
        <f>SUM(D18:D30)</f>
        <v>210926763.9262031</v>
      </c>
      <c r="E31" s="222">
        <f>SUM(E18:E30)</f>
        <v>12503236.073796898</v>
      </c>
      <c r="G31" s="408"/>
      <c r="H31" s="423" t="s">
        <v>136</v>
      </c>
      <c r="I31" s="405" t="s">
        <v>136</v>
      </c>
      <c r="J31" s="405" t="s">
        <v>136</v>
      </c>
      <c r="K31" s="405" t="s">
        <v>136</v>
      </c>
    </row>
    <row r="32" spans="1:11" ht="16.5" customHeight="1" thickTop="1" x14ac:dyDescent="0.2">
      <c r="A32" s="89"/>
      <c r="B32" s="60"/>
      <c r="C32" s="476" t="str">
        <f>IFERROR(IF(ROUND('Functionalized Accounts'!F52-'Functionalized Accounts'!F51,-1)=ROUND(C31,-1),"Revenue Requirement Input equals Output","Revenue Requirement Input Does Not Equal Output"),"-")</f>
        <v>Revenue Requirement Input equals Output</v>
      </c>
      <c r="D32" s="477"/>
      <c r="E32" s="478"/>
      <c r="G32" s="409" t="s">
        <v>27</v>
      </c>
      <c r="H32" s="424">
        <v>1.3329</v>
      </c>
      <c r="I32" s="406">
        <v>1.3845000000000001</v>
      </c>
      <c r="J32" s="406">
        <v>1.4515554027414979</v>
      </c>
      <c r="K32" s="406">
        <v>1.4853575079507959</v>
      </c>
    </row>
    <row r="33" spans="1:11" ht="13.5" thickBot="1" x14ac:dyDescent="0.25">
      <c r="A33" s="88"/>
      <c r="B33" s="60"/>
      <c r="C33" s="87"/>
      <c r="D33" s="83"/>
      <c r="E33" s="83"/>
      <c r="G33" s="410" t="s">
        <v>28</v>
      </c>
      <c r="H33" s="425">
        <v>1.0125999999999999</v>
      </c>
      <c r="I33" s="407">
        <v>1.0945</v>
      </c>
      <c r="J33" s="407">
        <v>1.2549210443978638</v>
      </c>
      <c r="K33" s="407">
        <v>1.4332570909283755</v>
      </c>
    </row>
    <row r="34" spans="1:11" ht="12.75" x14ac:dyDescent="0.2">
      <c r="A34" s="88" t="s">
        <v>172</v>
      </c>
      <c r="B34" s="90" t="s">
        <v>117</v>
      </c>
      <c r="C34" s="87">
        <f>SUM(D34:E34)</f>
        <v>500000</v>
      </c>
      <c r="D34" s="83">
        <f>-SUMIF('Summary by Class &amp; Accounts'!$C$9:$C$56, 'Revenue to Cost|RR'!$A34,'Summary by Class &amp; Accounts'!E$9:E$56)</f>
        <v>500000</v>
      </c>
      <c r="E34" s="83">
        <f>-SUMIF('Summary by Class &amp; Accounts'!$C$9:$C$56, 'Revenue to Cost|RR'!$A34,'Summary by Class &amp; Accounts'!F$9:F$56)</f>
        <v>0</v>
      </c>
      <c r="G34" s="428"/>
      <c r="K34" s="429"/>
    </row>
    <row r="35" spans="1:11" ht="13.5" thickBot="1" x14ac:dyDescent="0.25">
      <c r="A35" s="88"/>
      <c r="B35" s="60"/>
      <c r="C35" s="87"/>
      <c r="D35" s="83"/>
      <c r="E35" s="83"/>
      <c r="G35" s="430" t="s">
        <v>181</v>
      </c>
      <c r="H35" s="426"/>
      <c r="I35" s="427">
        <f t="shared" ref="I35:K36" si="2">I32/H32-1</f>
        <v>3.8712581589016581E-2</v>
      </c>
      <c r="J35" s="427">
        <f t="shared" si="2"/>
        <v>4.8432938058142083E-2</v>
      </c>
      <c r="K35" s="431">
        <f t="shared" si="2"/>
        <v>2.3286817124208437E-2</v>
      </c>
    </row>
    <row r="36" spans="1:11" ht="13.5" thickBot="1" x14ac:dyDescent="0.25">
      <c r="A36" s="88"/>
      <c r="B36" s="91" t="s">
        <v>36</v>
      </c>
      <c r="C36" s="92">
        <f>C31-C34</f>
        <v>222930000</v>
      </c>
      <c r="D36" s="92">
        <f>D31-D34</f>
        <v>210426763.9262031</v>
      </c>
      <c r="E36" s="92">
        <f>E31-E34</f>
        <v>12503236.073796898</v>
      </c>
      <c r="G36" s="432" t="s">
        <v>182</v>
      </c>
      <c r="H36" s="433"/>
      <c r="I36" s="434">
        <f t="shared" si="2"/>
        <v>8.0880900651787657E-2</v>
      </c>
      <c r="J36" s="434">
        <f t="shared" si="2"/>
        <v>0.14657016390850952</v>
      </c>
      <c r="K36" s="435">
        <f t="shared" si="2"/>
        <v>0.1421093759855474</v>
      </c>
    </row>
    <row r="37" spans="1:11" ht="13.5" thickTop="1" x14ac:dyDescent="0.2">
      <c r="A37" s="88"/>
      <c r="B37" s="60"/>
      <c r="C37" s="87"/>
      <c r="D37" s="321"/>
      <c r="E37" s="321"/>
    </row>
    <row r="38" spans="1:11" ht="12.75" x14ac:dyDescent="0.2">
      <c r="A38" s="88"/>
      <c r="B38" s="90" t="s">
        <v>91</v>
      </c>
      <c r="C38" s="226">
        <v>1</v>
      </c>
      <c r="D38" s="227">
        <f>D12/D36</f>
        <v>1.00707733773965</v>
      </c>
      <c r="E38" s="227">
        <f>E12/E36</f>
        <v>0.92087958093980626</v>
      </c>
    </row>
    <row r="39" spans="1:11" ht="12.75" x14ac:dyDescent="0.2">
      <c r="A39" s="88"/>
      <c r="B39" s="90" t="s">
        <v>44</v>
      </c>
      <c r="C39" s="226">
        <v>1</v>
      </c>
      <c r="D39" s="227">
        <f>D14/D36</f>
        <v>0.99128841956408043</v>
      </c>
      <c r="E39" s="227">
        <f>E14/E36</f>
        <v>1.1466140180824997</v>
      </c>
    </row>
    <row r="40" spans="1:11" ht="12.75" x14ac:dyDescent="0.2">
      <c r="A40" s="88"/>
      <c r="B40" s="188"/>
      <c r="C40" s="191"/>
      <c r="D40" s="83"/>
      <c r="E40" s="190"/>
    </row>
    <row r="41" spans="1:11" ht="12.75" x14ac:dyDescent="0.2">
      <c r="A41" s="88"/>
      <c r="B41" s="188" t="s">
        <v>37</v>
      </c>
      <c r="C41" s="314">
        <f>SUM(D41:E41)</f>
        <v>154929766.65310964</v>
      </c>
      <c r="D41" s="315">
        <f>'Energy Throughput'!D12*1000000</f>
        <v>144966401.92222634</v>
      </c>
      <c r="E41" s="315">
        <f>'Energy Throughput'!E12*1000000</f>
        <v>9963364.7308832891</v>
      </c>
      <c r="F41" s="474" t="str">
        <f>IF('Energy Throughput'!C15="Gross MWh Matches 'Revenue' MWh","","'Energy Throughput' MWh Does Not Match 'Revenue' MWh")</f>
        <v/>
      </c>
      <c r="G41" s="475"/>
      <c r="H41" s="475"/>
      <c r="I41" s="475"/>
    </row>
    <row r="42" spans="1:11" ht="13.5" thickBot="1" x14ac:dyDescent="0.25">
      <c r="A42" s="6"/>
      <c r="B42" s="188"/>
      <c r="C42" s="194"/>
      <c r="D42" s="195"/>
      <c r="E42" s="195"/>
    </row>
    <row r="43" spans="1:11" s="4" customFormat="1" ht="23.25" customHeight="1" thickBot="1" x14ac:dyDescent="0.3">
      <c r="B43" s="192" t="s">
        <v>45</v>
      </c>
      <c r="C43" s="193"/>
      <c r="D43" s="322">
        <f>D36/D41</f>
        <v>1.4515554027414979</v>
      </c>
      <c r="E43" s="322">
        <f>E36/E41</f>
        <v>1.2549210443978638</v>
      </c>
      <c r="F43" s="399"/>
    </row>
    <row r="44" spans="1:11" ht="12.75" x14ac:dyDescent="0.2">
      <c r="A44" s="88"/>
      <c r="B44" s="188"/>
      <c r="C44" s="191"/>
      <c r="D44" s="83"/>
      <c r="E44" s="190"/>
    </row>
    <row r="45" spans="1:11" ht="12.75" x14ac:dyDescent="0.2">
      <c r="A45" s="88"/>
      <c r="B45" s="90" t="s">
        <v>46</v>
      </c>
      <c r="C45" s="229"/>
      <c r="D45" s="230"/>
      <c r="E45" s="231">
        <f>E43/D43</f>
        <v>0.8645354094151293</v>
      </c>
    </row>
    <row r="46" spans="1:11" ht="13.5" thickBot="1" x14ac:dyDescent="0.25">
      <c r="A46" s="6"/>
      <c r="B46" s="188"/>
      <c r="C46" s="194"/>
      <c r="D46" s="195"/>
      <c r="E46" s="228"/>
    </row>
    <row r="47" spans="1:11" ht="12.75" x14ac:dyDescent="0.2">
      <c r="A47" s="80"/>
      <c r="B47" s="52"/>
    </row>
    <row r="48" spans="1:11" ht="13.5" thickBot="1" x14ac:dyDescent="0.25">
      <c r="A48" s="78"/>
    </row>
    <row r="49" spans="1:5" ht="12.75" x14ac:dyDescent="0.2">
      <c r="A49" s="78"/>
      <c r="B49" s="90" t="s">
        <v>126</v>
      </c>
      <c r="C49" s="359"/>
      <c r="D49" s="360">
        <f>ROUND(D43,4)</f>
        <v>1.4516</v>
      </c>
      <c r="E49" s="360">
        <f>ROUND(E43,4)</f>
        <v>1.2548999999999999</v>
      </c>
    </row>
    <row r="50" spans="1:5" ht="12.75" x14ac:dyDescent="0.2">
      <c r="B50" s="90" t="s">
        <v>124</v>
      </c>
      <c r="C50" s="361">
        <f>D50+E50</f>
        <v>222936255.43108919</v>
      </c>
      <c r="D50" s="83">
        <f>D49*D41</f>
        <v>210433229.03030375</v>
      </c>
      <c r="E50" s="83">
        <f>E49*E41</f>
        <v>12503026.400785439</v>
      </c>
    </row>
    <row r="51" spans="1:5" ht="13.5" thickBot="1" x14ac:dyDescent="0.25">
      <c r="B51" s="90" t="s">
        <v>125</v>
      </c>
      <c r="C51" s="365">
        <f>C50-C36</f>
        <v>6255.4310891926289</v>
      </c>
      <c r="D51" s="366">
        <f t="shared" ref="D51:E51" si="3">D50-D36</f>
        <v>6465.1041006445885</v>
      </c>
      <c r="E51" s="366">
        <f t="shared" si="3"/>
        <v>-209.67301145941019</v>
      </c>
    </row>
    <row r="52" spans="1:5" ht="12.75" x14ac:dyDescent="0.2">
      <c r="C52" s="362"/>
      <c r="D52" s="363"/>
      <c r="E52" s="364"/>
    </row>
    <row r="53" spans="1:5" x14ac:dyDescent="0.2">
      <c r="D53" s="356"/>
      <c r="E53" s="356"/>
    </row>
  </sheetData>
  <mergeCells count="3">
    <mergeCell ref="F41:I41"/>
    <mergeCell ref="C32:E32"/>
    <mergeCell ref="C6:E6"/>
  </mergeCells>
  <phoneticPr fontId="8" type="noConversion"/>
  <conditionalFormatting sqref="C32">
    <cfRule type="cellIs" dxfId="1" priority="4" stopIfTrue="1" operator="equal">
      <formula>"Error"</formula>
    </cfRule>
  </conditionalFormatting>
  <conditionalFormatting sqref="F41">
    <cfRule type="cellIs" dxfId="0" priority="1" operator="equal">
      <formula>"'Energy Throughput' MWh Does Not Match 'Revenue' MWh"</formula>
    </cfRule>
  </conditionalFormatting>
  <dataValidations disablePrompts="1" count="1">
    <dataValidation type="list" allowBlank="1" showInputMessage="1" showErrorMessage="1" sqref="H22"/>
  </dataValidations>
  <pageMargins left="0.75" right="0.75" top="1" bottom="1" header="0.5" footer="0.5"/>
  <pageSetup scale="63" fitToHeight="0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9"/>
  </sheetPr>
  <dimension ref="B1:F60"/>
  <sheetViews>
    <sheetView view="pageLayout" topLeftCell="H1" zoomScaleNormal="90" workbookViewId="0">
      <selection activeCell="H22" sqref="H22"/>
    </sheetView>
  </sheetViews>
  <sheetFormatPr defaultColWidth="9.140625" defaultRowHeight="11.25" x14ac:dyDescent="0.2"/>
  <cols>
    <col min="1" max="1" width="2.5703125" style="6" customWidth="1"/>
    <col min="2" max="2" width="73.28515625" style="7" customWidth="1"/>
    <col min="3" max="3" width="12.140625" style="55" customWidth="1"/>
    <col min="4" max="4" width="15.85546875" style="72" customWidth="1"/>
    <col min="5" max="5" width="16.140625" style="72" customWidth="1"/>
    <col min="6" max="6" width="14.85546875" style="72" customWidth="1"/>
    <col min="7" max="16384" width="9.140625" style="6"/>
  </cols>
  <sheetData>
    <row r="1" spans="2:6" s="1" customFormat="1" ht="20.25" x14ac:dyDescent="0.3">
      <c r="B1" s="44" t="s">
        <v>94</v>
      </c>
      <c r="C1" s="47"/>
      <c r="D1" s="47"/>
      <c r="E1" s="439" t="str">
        <f>"IESO "&amp;'Revenue to Cost|RR'!H22&amp;" Fee Model"</f>
        <v>IESO 2024 Fee Model</v>
      </c>
    </row>
    <row r="2" spans="2:6" s="1" customFormat="1" x14ac:dyDescent="0.2">
      <c r="B2" s="2"/>
      <c r="C2" s="69"/>
      <c r="D2" s="69"/>
      <c r="E2" s="2"/>
      <c r="F2" s="2"/>
    </row>
    <row r="4" spans="2:6" ht="15.75" x14ac:dyDescent="0.2">
      <c r="B4" s="181" t="s">
        <v>3</v>
      </c>
    </row>
    <row r="5" spans="2:6" ht="15.75" x14ac:dyDescent="0.2">
      <c r="B5" s="181"/>
    </row>
    <row r="6" spans="2:6" ht="12" thickBot="1" x14ac:dyDescent="0.25">
      <c r="B6" s="94"/>
      <c r="E6" s="71"/>
      <c r="F6" s="71"/>
    </row>
    <row r="7" spans="2:6" s="52" customFormat="1" ht="13.5" thickBot="1" x14ac:dyDescent="0.25">
      <c r="B7" s="95"/>
      <c r="C7" s="100"/>
      <c r="D7" s="101"/>
      <c r="E7" s="102">
        <v>1</v>
      </c>
      <c r="F7" s="103">
        <v>2</v>
      </c>
    </row>
    <row r="8" spans="2:6" s="61" customFormat="1" ht="13.5" thickBot="1" x14ac:dyDescent="0.25">
      <c r="B8" s="84" t="s">
        <v>0</v>
      </c>
      <c r="C8" s="98" t="s">
        <v>7</v>
      </c>
      <c r="D8" s="99" t="s">
        <v>10</v>
      </c>
      <c r="E8" s="319" t="str">
        <f>'Revenue to Cost|RR'!D8</f>
        <v>Domestic</v>
      </c>
      <c r="F8" s="320" t="str">
        <f>'Revenue to Cost|RR'!E8</f>
        <v>Export</v>
      </c>
    </row>
    <row r="9" spans="2:6" ht="12.75" x14ac:dyDescent="0.2">
      <c r="B9" s="182" t="str">
        <f>'Functionalized Accounts'!B9</f>
        <v>CEO Office</v>
      </c>
      <c r="C9" s="197" t="s">
        <v>62</v>
      </c>
      <c r="D9" s="96">
        <f>'Functionalized Accounts'!F9</f>
        <v>1500000</v>
      </c>
      <c r="E9" s="77">
        <f>VLOOKUP('TB Allocation Details'!$C6, Allocators!$B$9:$E$196, MATCH(E$8, Allocators!$B$9:$E$9, 0),FALSE)*$D9</f>
        <v>1416796.4340286737</v>
      </c>
      <c r="F9" s="97">
        <f>VLOOKUP('TB Allocation Details'!$C6, Allocators!$B$9:$E$196, MATCH(F$8, Allocators!$B$9:$E$9, 0),FALSE)*$D9</f>
        <v>83203.56597132633</v>
      </c>
    </row>
    <row r="10" spans="2:6" ht="12.75" x14ac:dyDescent="0.2">
      <c r="B10" s="183" t="str">
        <f>'Functionalized Accounts'!B10</f>
        <v xml:space="preserve">Markets &amp; Reliability -  VP Office </v>
      </c>
      <c r="C10" s="197" t="s">
        <v>169</v>
      </c>
      <c r="D10" s="96">
        <f>'Functionalized Accounts'!F10</f>
        <v>1100000</v>
      </c>
      <c r="E10" s="77">
        <f>VLOOKUP('TB Allocation Details'!$C7, Allocators!$B$9:$E$196, MATCH(E$8, Allocators!$B$9:$E$9, 0),FALSE)*$D10</f>
        <v>1029260.1967928439</v>
      </c>
      <c r="F10" s="97">
        <f>VLOOKUP('TB Allocation Details'!$C7, Allocators!$B$9:$E$196, MATCH(F$8, Allocators!$B$9:$E$9, 0),FALSE)*$D10</f>
        <v>70739.803207156277</v>
      </c>
    </row>
    <row r="11" spans="2:6" ht="12.75" x14ac:dyDescent="0.2">
      <c r="B11" s="183" t="str">
        <f>'Functionalized Accounts'!B11</f>
        <v xml:space="preserve">Markets &amp; Reliability -  Power System Assessments </v>
      </c>
      <c r="C11" s="197" t="s">
        <v>169</v>
      </c>
      <c r="D11" s="96">
        <f>'Functionalized Accounts'!F11</f>
        <v>11600000</v>
      </c>
      <c r="E11" s="77">
        <f>VLOOKUP('TB Allocation Details'!$C8, Allocators!$B$9:$E$196, MATCH(E$8, Allocators!$B$9:$E$9, 0),FALSE)*$D11</f>
        <v>10854016.620724535</v>
      </c>
      <c r="F11" s="97">
        <f>VLOOKUP('TB Allocation Details'!$C8, Allocators!$B$9:$E$196, MATCH(F$8, Allocators!$B$9:$E$9, 0),FALSE)*$D11</f>
        <v>745983.3792754662</v>
      </c>
    </row>
    <row r="12" spans="2:6" ht="12.75" x14ac:dyDescent="0.2">
      <c r="B12" s="183" t="str">
        <f>'Functionalized Accounts'!B12</f>
        <v xml:space="preserve">Markets &amp; Reliability -  Market Operations </v>
      </c>
      <c r="C12" s="197" t="s">
        <v>169</v>
      </c>
      <c r="D12" s="96">
        <f>'Functionalized Accounts'!F12</f>
        <v>17200000</v>
      </c>
      <c r="E12" s="77">
        <f>VLOOKUP('TB Allocation Details'!$C9, Allocators!$B$9:$E$196, MATCH(E$8, Allocators!$B$9:$E$9, 0),FALSE)*$D12</f>
        <v>16093886.713488102</v>
      </c>
      <c r="F12" s="97">
        <f>VLOOKUP('TB Allocation Details'!$C9, Allocators!$B$9:$E$196, MATCH(F$8, Allocators!$B$9:$E$9, 0),FALSE)*$D12</f>
        <v>1106113.2865118983</v>
      </c>
    </row>
    <row r="13" spans="2:6" ht="12.75" x14ac:dyDescent="0.2">
      <c r="B13" s="183" t="str">
        <f>'Functionalized Accounts'!B13</f>
        <v xml:space="preserve">Markets &amp; Reliability -  Wholesale Market Development </v>
      </c>
      <c r="C13" s="197" t="s">
        <v>169</v>
      </c>
      <c r="D13" s="96">
        <f>'Functionalized Accounts'!F13</f>
        <v>4600000.0000000009</v>
      </c>
      <c r="E13" s="77">
        <f>VLOOKUP('TB Allocation Details'!$C10, Allocators!$B$9:$E$196, MATCH(E$8, Allocators!$B$9:$E$9, 0),FALSE)*$D13</f>
        <v>4304179.004770075</v>
      </c>
      <c r="F13" s="97">
        <f>VLOOKUP('TB Allocation Details'!$C10, Allocators!$B$9:$E$196, MATCH(F$8, Allocators!$B$9:$E$9, 0),FALSE)*$D13</f>
        <v>295820.99522992631</v>
      </c>
    </row>
    <row r="14" spans="2:6" ht="12.75" x14ac:dyDescent="0.2">
      <c r="B14" s="183" t="str">
        <f>'Functionalized Accounts'!B14</f>
        <v xml:space="preserve">Markets &amp; Reliability -  Reliability Assurance &amp; Operational Assessments </v>
      </c>
      <c r="C14" s="197" t="s">
        <v>169</v>
      </c>
      <c r="D14" s="96">
        <f>'Functionalized Accounts'!F14</f>
        <v>5800000</v>
      </c>
      <c r="E14" s="77">
        <f>VLOOKUP('TB Allocation Details'!$C11, Allocators!$B$9:$E$196, MATCH(E$8, Allocators!$B$9:$E$9, 0),FALSE)*$D14</f>
        <v>5427008.3103622673</v>
      </c>
      <c r="F14" s="97">
        <f>VLOOKUP('TB Allocation Details'!$C11, Allocators!$B$9:$E$196, MATCH(F$8, Allocators!$B$9:$E$9, 0),FALSE)*$D14</f>
        <v>372991.6896377331</v>
      </c>
    </row>
    <row r="15" spans="2:6" ht="25.5" x14ac:dyDescent="0.2">
      <c r="B15" s="183" t="str">
        <f>'Functionalized Accounts'!B15</f>
        <v xml:space="preserve">Planning, Conservation and Resource Adequacy -  VP Office and Planning Projects &amp; Sustainability </v>
      </c>
      <c r="C15" s="197" t="s">
        <v>170</v>
      </c>
      <c r="D15" s="96">
        <f>'Functionalized Accounts'!F15</f>
        <v>1100000</v>
      </c>
      <c r="E15" s="77">
        <f>VLOOKUP('TB Allocation Details'!$C12, Allocators!$B$9:$E$196, MATCH(E$8, Allocators!$B$9:$E$9, 0),FALSE)*$D15</f>
        <v>1100000</v>
      </c>
      <c r="F15" s="97">
        <f>VLOOKUP('TB Allocation Details'!$C12, Allocators!$B$9:$E$196, MATCH(F$8, Allocators!$B$9:$E$9, 0),FALSE)*$D15</f>
        <v>0</v>
      </c>
    </row>
    <row r="16" spans="2:6" ht="12.75" x14ac:dyDescent="0.2">
      <c r="B16" s="183" t="str">
        <f>'Functionalized Accounts'!B16</f>
        <v xml:space="preserve">Planning, Conservation and Resource Adequacy -  Resource Planning </v>
      </c>
      <c r="C16" s="197" t="s">
        <v>170</v>
      </c>
      <c r="D16" s="96">
        <f>'Functionalized Accounts'!F16</f>
        <v>6400000</v>
      </c>
      <c r="E16" s="77">
        <f>VLOOKUP('TB Allocation Details'!$C13, Allocators!$B$9:$E$196, MATCH(E$8, Allocators!$B$9:$E$9, 0),FALSE)*$D16</f>
        <v>6400000</v>
      </c>
      <c r="F16" s="97">
        <f>VLOOKUP('TB Allocation Details'!$C13, Allocators!$B$9:$E$196, MATCH(F$8, Allocators!$B$9:$E$9, 0),FALSE)*$D16</f>
        <v>0</v>
      </c>
    </row>
    <row r="17" spans="2:6" ht="12.75" x14ac:dyDescent="0.2">
      <c r="B17" s="183" t="str">
        <f>'Functionalized Accounts'!B17</f>
        <v xml:space="preserve">Planning, Conservation and Resource Adequacy -  Transmission Planning </v>
      </c>
      <c r="C17" s="197" t="s">
        <v>170</v>
      </c>
      <c r="D17" s="96">
        <f>'Functionalized Accounts'!F17</f>
        <v>6900000</v>
      </c>
      <c r="E17" s="77">
        <f>VLOOKUP('TB Allocation Details'!$C14, Allocators!$B$9:$E$196, MATCH(E$8, Allocators!$B$9:$E$9, 0),FALSE)*$D17</f>
        <v>6900000</v>
      </c>
      <c r="F17" s="97">
        <f>VLOOKUP('TB Allocation Details'!$C14, Allocators!$B$9:$E$196, MATCH(F$8, Allocators!$B$9:$E$9, 0),FALSE)*$D17</f>
        <v>0</v>
      </c>
    </row>
    <row r="18" spans="2:6" ht="12.75" x14ac:dyDescent="0.2">
      <c r="B18" s="183" t="str">
        <f>'Functionalized Accounts'!B18</f>
        <v xml:space="preserve">Planning, Conservation and Resource Adequacy -  Resource &amp; System Adequacy </v>
      </c>
      <c r="C18" s="197" t="s">
        <v>170</v>
      </c>
      <c r="D18" s="96">
        <f>'Functionalized Accounts'!F18</f>
        <v>7100000</v>
      </c>
      <c r="E18" s="77">
        <f>VLOOKUP('TB Allocation Details'!$C15, Allocators!$B$9:$E$196, MATCH(E$8, Allocators!$B$9:$E$9, 0),FALSE)*$D18</f>
        <v>7100000</v>
      </c>
      <c r="F18" s="97">
        <f>VLOOKUP('TB Allocation Details'!$C15, Allocators!$B$9:$E$196, MATCH(F$8, Allocators!$B$9:$E$9, 0),FALSE)*$D18</f>
        <v>0</v>
      </c>
    </row>
    <row r="19" spans="2:6" ht="12.75" x14ac:dyDescent="0.2">
      <c r="B19" s="183" t="str">
        <f>'Functionalized Accounts'!B19</f>
        <v xml:space="preserve">Planning, Conservation and Resource Adequacy -  Energy Efficiency </v>
      </c>
      <c r="C19" s="197" t="s">
        <v>170</v>
      </c>
      <c r="D19" s="96">
        <f>'Functionalized Accounts'!F19</f>
        <v>6730000</v>
      </c>
      <c r="E19" s="77">
        <f>VLOOKUP('TB Allocation Details'!$C16, Allocators!$B$9:$E$196, MATCH(E$8, Allocators!$B$9:$E$9, 0),FALSE)*$D19</f>
        <v>6730000</v>
      </c>
      <c r="F19" s="97">
        <f>VLOOKUP('TB Allocation Details'!$C16, Allocators!$B$9:$E$196, MATCH(F$8, Allocators!$B$9:$E$9, 0),FALSE)*$D19</f>
        <v>0</v>
      </c>
    </row>
    <row r="20" spans="2:6" ht="12.75" x14ac:dyDescent="0.2">
      <c r="B20" s="183" t="str">
        <f>'Functionalized Accounts'!B20</f>
        <v xml:space="preserve">Corporate Relations, Stakeholder Engagement and Innovation -  VP Office </v>
      </c>
      <c r="C20" s="197" t="s">
        <v>171</v>
      </c>
      <c r="D20" s="96">
        <f>'Functionalized Accounts'!F20</f>
        <v>700000</v>
      </c>
      <c r="E20" s="77">
        <f>VLOOKUP('TB Allocation Details'!$C17, Allocators!$B$9:$E$196, MATCH(E$8, Allocators!$B$9:$E$9, 0),FALSE)*$D20</f>
        <v>700000</v>
      </c>
      <c r="F20" s="97">
        <f>VLOOKUP('TB Allocation Details'!$C17, Allocators!$B$9:$E$196, MATCH(F$8, Allocators!$B$9:$E$9, 0),FALSE)*$D20</f>
        <v>0</v>
      </c>
    </row>
    <row r="21" spans="2:6" ht="12.75" x14ac:dyDescent="0.2">
      <c r="B21" s="183" t="str">
        <f>'Functionalized Accounts'!B21</f>
        <v xml:space="preserve">Corporate Relations, Stakeholder Engagement and Innovation -  Government Affairs </v>
      </c>
      <c r="C21" s="197" t="s">
        <v>171</v>
      </c>
      <c r="D21" s="96">
        <f>'Functionalized Accounts'!F21</f>
        <v>650000</v>
      </c>
      <c r="E21" s="77">
        <f>VLOOKUP('TB Allocation Details'!$C18, Allocators!$B$9:$E$196, MATCH(E$8, Allocators!$B$9:$E$9, 0),FALSE)*$D21</f>
        <v>650000</v>
      </c>
      <c r="F21" s="97">
        <f>VLOOKUP('TB Allocation Details'!$C18, Allocators!$B$9:$E$196, MATCH(F$8, Allocators!$B$9:$E$9, 0),FALSE)*$D21</f>
        <v>0</v>
      </c>
    </row>
    <row r="22" spans="2:6" ht="25.5" x14ac:dyDescent="0.2">
      <c r="B22" s="183" t="str">
        <f>'Functionalized Accounts'!B22</f>
        <v xml:space="preserve">Corporate Relations, Stakeholder Engagement and Innovation -  Corporate Communications </v>
      </c>
      <c r="C22" s="197" t="s">
        <v>171</v>
      </c>
      <c r="D22" s="96">
        <f>'Functionalized Accounts'!F22</f>
        <v>4150000.0000000005</v>
      </c>
      <c r="E22" s="77">
        <f>VLOOKUP('TB Allocation Details'!$C19, Allocators!$B$9:$E$196, MATCH(E$8, Allocators!$B$9:$E$9, 0),FALSE)*$D22</f>
        <v>4150000.0000000005</v>
      </c>
      <c r="F22" s="97">
        <f>VLOOKUP('TB Allocation Details'!$C19, Allocators!$B$9:$E$196, MATCH(F$8, Allocators!$B$9:$E$9, 0),FALSE)*$D22</f>
        <v>0</v>
      </c>
    </row>
    <row r="23" spans="2:6" ht="25.5" x14ac:dyDescent="0.2">
      <c r="B23" s="183" t="str">
        <f>'Functionalized Accounts'!B23</f>
        <v xml:space="preserve">Corporate Relations, Stakeholder Engagement and Innovation -  Stakeholder and Community Engagement </v>
      </c>
      <c r="C23" s="197" t="s">
        <v>171</v>
      </c>
      <c r="D23" s="96">
        <f>'Functionalized Accounts'!F23</f>
        <v>6439999.9999999991</v>
      </c>
      <c r="E23" s="77">
        <f>VLOOKUP('TB Allocation Details'!$C20, Allocators!$B$9:$E$196, MATCH(E$8, Allocators!$B$9:$E$9, 0),FALSE)*$D23</f>
        <v>6439999.9999999991</v>
      </c>
      <c r="F23" s="97">
        <f>VLOOKUP('TB Allocation Details'!$C20, Allocators!$B$9:$E$196, MATCH(F$8, Allocators!$B$9:$E$9, 0),FALSE)*$D23</f>
        <v>0</v>
      </c>
    </row>
    <row r="24" spans="2:6" ht="25.5" x14ac:dyDescent="0.2">
      <c r="B24" s="183" t="str">
        <f>'Functionalized Accounts'!B24</f>
        <v xml:space="preserve">Corporate Relations, Stakeholder Engagement and Innovation -  Innovation, Research &amp; Development </v>
      </c>
      <c r="C24" s="197" t="s">
        <v>171</v>
      </c>
      <c r="D24" s="96">
        <f>'Functionalized Accounts'!F24</f>
        <v>4720000</v>
      </c>
      <c r="E24" s="77">
        <f>VLOOKUP('TB Allocation Details'!$C21, Allocators!$B$9:$E$196, MATCH(E$8, Allocators!$B$9:$E$9, 0),FALSE)*$D24</f>
        <v>4720000</v>
      </c>
      <c r="F24" s="97">
        <f>VLOOKUP('TB Allocation Details'!$C21, Allocators!$B$9:$E$196, MATCH(F$8, Allocators!$B$9:$E$9, 0),FALSE)*$D24</f>
        <v>0</v>
      </c>
    </row>
    <row r="25" spans="2:6" ht="12.75" x14ac:dyDescent="0.2">
      <c r="B25" s="183" t="str">
        <f>'Functionalized Accounts'!B25</f>
        <v>Information and Technology Services - VP Office</v>
      </c>
      <c r="C25" s="197" t="s">
        <v>67</v>
      </c>
      <c r="D25" s="96">
        <f>'Functionalized Accounts'!F25</f>
        <v>900000</v>
      </c>
      <c r="E25" s="77">
        <f>VLOOKUP('TB Allocation Details'!$C22, Allocators!$B$9:$E$196, MATCH(E$8, Allocators!$B$9:$E$9, 0),FALSE)*$D25</f>
        <v>850077.86041720421</v>
      </c>
      <c r="F25" s="97">
        <f>VLOOKUP('TB Allocation Details'!$C22, Allocators!$B$9:$E$196, MATCH(F$8, Allocators!$B$9:$E$9, 0),FALSE)*$D25</f>
        <v>49922.139582795804</v>
      </c>
    </row>
    <row r="26" spans="2:6" ht="25.5" x14ac:dyDescent="0.2">
      <c r="B26" s="183" t="str">
        <f>'Functionalized Accounts'!B26</f>
        <v>Information and Technology Services - CIO Office (Organizational Governance Support)</v>
      </c>
      <c r="C26" s="197" t="s">
        <v>67</v>
      </c>
      <c r="D26" s="96">
        <f>'Functionalized Accounts'!F26</f>
        <v>2200000</v>
      </c>
      <c r="E26" s="77">
        <f>VLOOKUP('TB Allocation Details'!$C23, Allocators!$B$9:$E$196, MATCH(E$8, Allocators!$B$9:$E$9, 0),FALSE)*$D26</f>
        <v>2077968.1032420548</v>
      </c>
      <c r="F26" s="97">
        <f>VLOOKUP('TB Allocation Details'!$C23, Allocators!$B$9:$E$196, MATCH(F$8, Allocators!$B$9:$E$9, 0),FALSE)*$D26</f>
        <v>122031.89675794527</v>
      </c>
    </row>
    <row r="27" spans="2:6" ht="12.75" x14ac:dyDescent="0.2">
      <c r="B27" s="183" t="str">
        <f>'Functionalized Accounts'!B27</f>
        <v>Information and Technology Services - Information Security</v>
      </c>
      <c r="C27" s="197" t="s">
        <v>67</v>
      </c>
      <c r="D27" s="96">
        <f>'Functionalized Accounts'!F27</f>
        <v>5600000</v>
      </c>
      <c r="E27" s="77">
        <f>VLOOKUP('TB Allocation Details'!$C24, Allocators!$B$9:$E$196, MATCH(E$8, Allocators!$B$9:$E$9, 0),FALSE)*$D27</f>
        <v>5289373.353707049</v>
      </c>
      <c r="F27" s="97">
        <f>VLOOKUP('TB Allocation Details'!$C24, Allocators!$B$9:$E$196, MATCH(F$8, Allocators!$B$9:$E$9, 0),FALSE)*$D27</f>
        <v>310626.6462929516</v>
      </c>
    </row>
    <row r="28" spans="2:6" ht="12.75" x14ac:dyDescent="0.2">
      <c r="B28" s="183" t="str">
        <f>'Functionalized Accounts'!B28</f>
        <v>Information and Technology Services - Business Services &amp; Solution Delivery</v>
      </c>
      <c r="C28" s="197" t="s">
        <v>67</v>
      </c>
      <c r="D28" s="96">
        <f>'Functionalized Accounts'!F28</f>
        <v>19100000</v>
      </c>
      <c r="E28" s="77">
        <f>VLOOKUP('TB Allocation Details'!$C25, Allocators!$B$9:$E$196, MATCH(E$8, Allocators!$B$9:$E$9, 0),FALSE)*$D28</f>
        <v>18040541.259965114</v>
      </c>
      <c r="F28" s="97">
        <f>VLOOKUP('TB Allocation Details'!$C25, Allocators!$B$9:$E$196, MATCH(F$8, Allocators!$B$9:$E$9, 0),FALSE)*$D28</f>
        <v>1059458.7400348885</v>
      </c>
    </row>
    <row r="29" spans="2:6" ht="25.5" x14ac:dyDescent="0.2">
      <c r="B29" s="183" t="str">
        <f>'Functionalized Accounts'!B29</f>
        <v>Information and Technology Services - IT Infrastructure &amp; Operations (Technology Services)</v>
      </c>
      <c r="C29" s="197" t="s">
        <v>67</v>
      </c>
      <c r="D29" s="96">
        <f>'Functionalized Accounts'!F29</f>
        <v>21600000</v>
      </c>
      <c r="E29" s="77">
        <f>VLOOKUP('TB Allocation Details'!$C26, Allocators!$B$9:$E$196, MATCH(E$8, Allocators!$B$9:$E$9, 0),FALSE)*$D29</f>
        <v>20401868.650012903</v>
      </c>
      <c r="F29" s="97">
        <f>VLOOKUP('TB Allocation Details'!$C26, Allocators!$B$9:$E$196, MATCH(F$8, Allocators!$B$9:$E$9, 0),FALSE)*$D29</f>
        <v>1198131.3499870992</v>
      </c>
    </row>
    <row r="30" spans="2:6" ht="12.75" x14ac:dyDescent="0.2">
      <c r="B30" s="183" t="str">
        <f>'Functionalized Accounts'!B30</f>
        <v xml:space="preserve">Legal Resources and Corporate Governance -  VP Office </v>
      </c>
      <c r="C30" s="197" t="s">
        <v>105</v>
      </c>
      <c r="D30" s="96">
        <f>'Functionalized Accounts'!F30</f>
        <v>1500000.0000000002</v>
      </c>
      <c r="E30" s="77">
        <f>VLOOKUP('TB Allocation Details'!$C27, Allocators!$B$9:$E$196, MATCH(E$8, Allocators!$B$9:$E$9, 0),FALSE)*$D30</f>
        <v>1403536.6319902418</v>
      </c>
      <c r="F30" s="97">
        <f>VLOOKUP('TB Allocation Details'!$C27, Allocators!$B$9:$E$196, MATCH(F$8, Allocators!$B$9:$E$9, 0),FALSE)*$D30</f>
        <v>96463.368009758575</v>
      </c>
    </row>
    <row r="31" spans="2:6" ht="12.75" x14ac:dyDescent="0.2">
      <c r="B31" s="183" t="str">
        <f>'Functionalized Accounts'!B31</f>
        <v xml:space="preserve">Legal Resources and Corporate Governance -  General Counsel </v>
      </c>
      <c r="C31" s="197" t="s">
        <v>105</v>
      </c>
      <c r="D31" s="96">
        <f>'Functionalized Accounts'!F31</f>
        <v>11100000.000000004</v>
      </c>
      <c r="E31" s="77">
        <f>VLOOKUP('TB Allocation Details'!$C28, Allocators!$B$9:$E$196, MATCH(E$8, Allocators!$B$9:$E$9, 0),FALSE)*$D31</f>
        <v>10386171.076727791</v>
      </c>
      <c r="F31" s="97">
        <f>VLOOKUP('TB Allocation Details'!$C28, Allocators!$B$9:$E$196, MATCH(F$8, Allocators!$B$9:$E$9, 0),FALSE)*$D31</f>
        <v>713828.92327221355</v>
      </c>
    </row>
    <row r="32" spans="2:6" ht="12.75" x14ac:dyDescent="0.2">
      <c r="B32" s="183" t="str">
        <f>'Functionalized Accounts'!B32</f>
        <v xml:space="preserve">Legal Resources and Corporate Governance -  Market Rules and Regulatory Affairs </v>
      </c>
      <c r="C32" s="197" t="s">
        <v>105</v>
      </c>
      <c r="D32" s="96">
        <f>'Functionalized Accounts'!F32</f>
        <v>2900000.0000000005</v>
      </c>
      <c r="E32" s="77">
        <f>VLOOKUP('TB Allocation Details'!$C29, Allocators!$B$9:$E$196, MATCH(E$8, Allocators!$B$9:$E$9, 0),FALSE)*$D32</f>
        <v>2713504.1551811341</v>
      </c>
      <c r="F32" s="97">
        <f>VLOOKUP('TB Allocation Details'!$C29, Allocators!$B$9:$E$196, MATCH(F$8, Allocators!$B$9:$E$9, 0),FALSE)*$D32</f>
        <v>186495.84481886658</v>
      </c>
    </row>
    <row r="33" spans="2:6" ht="12.75" x14ac:dyDescent="0.2">
      <c r="B33" s="183" t="str">
        <f>'Functionalized Accounts'!B33</f>
        <v xml:space="preserve">Legal Resources and Corporate Governance -  OEB Assessment Fees </v>
      </c>
      <c r="C33" s="197" t="s">
        <v>105</v>
      </c>
      <c r="D33" s="96">
        <f>'Functionalized Accounts'!F33</f>
        <v>600000.00000000012</v>
      </c>
      <c r="E33" s="77">
        <f>VLOOKUP('TB Allocation Details'!$C30, Allocators!$B$9:$E$196, MATCH(E$8, Allocators!$B$9:$E$9, 0),FALSE)*$D33</f>
        <v>561414.65279609675</v>
      </c>
      <c r="F33" s="97">
        <f>VLOOKUP('TB Allocation Details'!$C30, Allocators!$B$9:$E$196, MATCH(F$8, Allocators!$B$9:$E$9, 0),FALSE)*$D33</f>
        <v>38585.347203903431</v>
      </c>
    </row>
    <row r="34" spans="2:6" ht="12.75" x14ac:dyDescent="0.2">
      <c r="B34" s="183" t="str">
        <f>'Functionalized Accounts'!B34</f>
        <v xml:space="preserve">Legal Resources and Corporate Governance -  Board </v>
      </c>
      <c r="C34" s="197" t="s">
        <v>105</v>
      </c>
      <c r="D34" s="96">
        <f>'Functionalized Accounts'!F34</f>
        <v>800000.00000000023</v>
      </c>
      <c r="E34" s="77">
        <f>VLOOKUP('TB Allocation Details'!$C31, Allocators!$B$9:$E$196, MATCH(E$8, Allocators!$B$9:$E$9, 0),FALSE)*$D34</f>
        <v>748552.87039479567</v>
      </c>
      <c r="F34" s="97">
        <f>VLOOKUP('TB Allocation Details'!$C31, Allocators!$B$9:$E$196, MATCH(F$8, Allocators!$B$9:$E$9, 0),FALSE)*$D34</f>
        <v>51447.12960520458</v>
      </c>
    </row>
    <row r="35" spans="2:6" ht="12.75" x14ac:dyDescent="0.2">
      <c r="B35" s="183" t="str">
        <f>'Functionalized Accounts'!B35</f>
        <v xml:space="preserve">Legal Resources and Corporate Governance -  NERC and NPCC Membership </v>
      </c>
      <c r="C35" s="197" t="s">
        <v>105</v>
      </c>
      <c r="D35" s="96">
        <f>'Functionalized Accounts'!F35</f>
        <v>5300000.0000000009</v>
      </c>
      <c r="E35" s="77">
        <f>VLOOKUP('TB Allocation Details'!$C32, Allocators!$B$9:$E$196, MATCH(E$8, Allocators!$B$9:$E$9, 0),FALSE)*$D35</f>
        <v>2650000.0000000005</v>
      </c>
      <c r="F35" s="97">
        <f>VLOOKUP('TB Allocation Details'!$C32, Allocators!$B$9:$E$196, MATCH(F$8, Allocators!$B$9:$E$9, 0),FALSE)*$D35</f>
        <v>2650000.0000000005</v>
      </c>
    </row>
    <row r="36" spans="2:6" ht="12.75" x14ac:dyDescent="0.2">
      <c r="B36" s="183" t="str">
        <f>'Functionalized Accounts'!B36</f>
        <v xml:space="preserve">Legal Resources and Corporate Governance -  Contract Management </v>
      </c>
      <c r="C36" s="197" t="s">
        <v>105</v>
      </c>
      <c r="D36" s="96">
        <f>'Functionalized Accounts'!F36</f>
        <v>8740000.0000000019</v>
      </c>
      <c r="E36" s="77">
        <f>VLOOKUP('TB Allocation Details'!$C33, Allocators!$B$9:$E$196, MATCH(E$8, Allocators!$B$9:$E$9, 0),FALSE)*$D36</f>
        <v>8740000.0000000019</v>
      </c>
      <c r="F36" s="97">
        <f>VLOOKUP('TB Allocation Details'!$C33, Allocators!$B$9:$E$196, MATCH(F$8, Allocators!$B$9:$E$9, 0),FALSE)*$D36</f>
        <v>0</v>
      </c>
    </row>
    <row r="37" spans="2:6" ht="25.5" x14ac:dyDescent="0.2">
      <c r="B37" s="183" t="str">
        <f>'Functionalized Accounts'!B37</f>
        <v xml:space="preserve">Market Assessment and Compliance Division -  Market Assessment and Compliance Division </v>
      </c>
      <c r="C37" s="197" t="s">
        <v>56</v>
      </c>
      <c r="D37" s="96">
        <f>'Functionalized Accounts'!F37</f>
        <v>1800000</v>
      </c>
      <c r="E37" s="77">
        <f>VLOOKUP('TB Allocation Details'!$C34, Allocators!$B$9:$E$196, MATCH(E$8, Allocators!$B$9:$E$9, 0),FALSE)*$D37</f>
        <v>1684243.9583882897</v>
      </c>
      <c r="F37" s="97">
        <f>VLOOKUP('TB Allocation Details'!$C34, Allocators!$B$9:$E$196, MATCH(F$8, Allocators!$B$9:$E$9, 0),FALSE)*$D37</f>
        <v>115756.04161171027</v>
      </c>
    </row>
    <row r="38" spans="2:6" ht="12.75" x14ac:dyDescent="0.2">
      <c r="B38" s="183" t="str">
        <f>'Functionalized Accounts'!B38</f>
        <v xml:space="preserve">Market Assessment and Compliance Division - Regulatory Fees </v>
      </c>
      <c r="C38" s="197" t="s">
        <v>56</v>
      </c>
      <c r="D38" s="96">
        <f>'Functionalized Accounts'!F38</f>
        <v>700000</v>
      </c>
      <c r="E38" s="77">
        <f>VLOOKUP('TB Allocation Details'!$C35, Allocators!$B$9:$E$196, MATCH(E$8, Allocators!$B$9:$E$9, 0),FALSE)*$D38</f>
        <v>654983.76159544603</v>
      </c>
      <c r="F38" s="97">
        <f>VLOOKUP('TB Allocation Details'!$C35, Allocators!$B$9:$E$196, MATCH(F$8, Allocators!$B$9:$E$9, 0),FALSE)*$D38</f>
        <v>45016.238404553995</v>
      </c>
    </row>
    <row r="39" spans="2:6" ht="12.75" x14ac:dyDescent="0.2">
      <c r="B39" s="183" t="str">
        <f>'Functionalized Accounts'!B39</f>
        <v>Corporate Services - VP Office</v>
      </c>
      <c r="C39" s="197" t="s">
        <v>63</v>
      </c>
      <c r="D39" s="96">
        <f>'Functionalized Accounts'!F39</f>
        <v>600000</v>
      </c>
      <c r="E39" s="77">
        <f>VLOOKUP('TB Allocation Details'!$C36, Allocators!$B$9:$E$196, MATCH(E$8, Allocators!$B$9:$E$9, 0),FALSE)*$D39</f>
        <v>565661.37317867565</v>
      </c>
      <c r="F39" s="97">
        <f>VLOOKUP('TB Allocation Details'!$C36, Allocators!$B$9:$E$196, MATCH(F$8, Allocators!$B$9:$E$9, 0),FALSE)*$D39</f>
        <v>34338.626821324455</v>
      </c>
    </row>
    <row r="40" spans="2:6" ht="12.75" x14ac:dyDescent="0.2">
      <c r="B40" s="183" t="str">
        <f>'Functionalized Accounts'!B40</f>
        <v>Corporate Services - Corporate Finance</v>
      </c>
      <c r="C40" s="197" t="s">
        <v>63</v>
      </c>
      <c r="D40" s="96">
        <f>'Functionalized Accounts'!F40</f>
        <v>5900000</v>
      </c>
      <c r="E40" s="77">
        <f>VLOOKUP('TB Allocation Details'!$C37, Allocators!$B$9:$E$196, MATCH(E$8, Allocators!$B$9:$E$9, 0),FALSE)*$D40</f>
        <v>5572732.6405127831</v>
      </c>
      <c r="F40" s="97">
        <f>VLOOKUP('TB Allocation Details'!$C37, Allocators!$B$9:$E$196, MATCH(F$8, Allocators!$B$9:$E$9, 0),FALSE)*$D40</f>
        <v>327267.35948721686</v>
      </c>
    </row>
    <row r="41" spans="2:6" ht="12.75" x14ac:dyDescent="0.2">
      <c r="B41" s="183" t="str">
        <f>'Functionalized Accounts'!B41</f>
        <v>Corporate Services - Procurement</v>
      </c>
      <c r="C41" s="197" t="s">
        <v>63</v>
      </c>
      <c r="D41" s="96">
        <f>'Functionalized Accounts'!F41</f>
        <v>1800000</v>
      </c>
      <c r="E41" s="77">
        <f>VLOOKUP('TB Allocation Details'!$C38, Allocators!$B$9:$E$196, MATCH(E$8, Allocators!$B$9:$E$9, 0),FALSE)*$D41</f>
        <v>1700155.7208344084</v>
      </c>
      <c r="F41" s="97">
        <f>VLOOKUP('TB Allocation Details'!$C38, Allocators!$B$9:$E$196, MATCH(F$8, Allocators!$B$9:$E$9, 0),FALSE)*$D41</f>
        <v>99844.279165591593</v>
      </c>
    </row>
    <row r="42" spans="2:6" ht="12.75" x14ac:dyDescent="0.2">
      <c r="B42" s="183" t="str">
        <f>'Functionalized Accounts'!B42</f>
        <v>Corporate Services - Risk, Performance &amp; Reliance and Internal Audit</v>
      </c>
      <c r="C42" s="197" t="s">
        <v>63</v>
      </c>
      <c r="D42" s="96">
        <f>'Functionalized Accounts'!F42</f>
        <v>2300000</v>
      </c>
      <c r="E42" s="77">
        <f>VLOOKUP('TB Allocation Details'!$C39, Allocators!$B$9:$E$196, MATCH(E$8, Allocators!$B$9:$E$9, 0),FALSE)*$D42</f>
        <v>2172421.1988439662</v>
      </c>
      <c r="F42" s="97">
        <f>VLOOKUP('TB Allocation Details'!$C39, Allocators!$B$9:$E$196, MATCH(F$8, Allocators!$B$9:$E$9, 0),FALSE)*$D42</f>
        <v>127578.8011560337</v>
      </c>
    </row>
    <row r="43" spans="2:6" ht="12.75" x14ac:dyDescent="0.2">
      <c r="B43" s="183" t="str">
        <f>'Functionalized Accounts'!B43</f>
        <v>Corporate Services - Settlements</v>
      </c>
      <c r="C43" s="197" t="s">
        <v>63</v>
      </c>
      <c r="D43" s="96">
        <f>'Functionalized Accounts'!F43</f>
        <v>5900000</v>
      </c>
      <c r="E43" s="77">
        <f>VLOOKUP('TB Allocation Details'!$C40, Allocators!$B$9:$E$196, MATCH(E$8, Allocators!$B$9:$E$9, 0),FALSE)*$D43</f>
        <v>5520577.4191616168</v>
      </c>
      <c r="F43" s="97">
        <f>VLOOKUP('TB Allocation Details'!$C40, Allocators!$B$9:$E$196, MATCH(F$8, Allocators!$B$9:$E$9, 0),FALSE)*$D43</f>
        <v>379422.5808383837</v>
      </c>
    </row>
    <row r="44" spans="2:6" ht="12.75" x14ac:dyDescent="0.2">
      <c r="B44" s="183" t="str">
        <f>'Functionalized Accounts'!B44</f>
        <v>Corporate Services - Facilities</v>
      </c>
      <c r="C44" s="197" t="s">
        <v>63</v>
      </c>
      <c r="D44" s="96">
        <f>'Functionalized Accounts'!F44</f>
        <v>10200000</v>
      </c>
      <c r="E44" s="77">
        <f>VLOOKUP('TB Allocation Details'!$C41, Allocators!$B$9:$E$196, MATCH(E$8, Allocators!$B$9:$E$9, 0),FALSE)*$D44</f>
        <v>9634215.7513949815</v>
      </c>
      <c r="F44" s="97">
        <f>VLOOKUP('TB Allocation Details'!$C41, Allocators!$B$9:$E$196, MATCH(F$8, Allocators!$B$9:$E$9, 0),FALSE)*$D44</f>
        <v>565784.24860501906</v>
      </c>
    </row>
    <row r="45" spans="2:6" ht="12.75" x14ac:dyDescent="0.2">
      <c r="B45" s="183" t="str">
        <f>'Functionalized Accounts'!B45</f>
        <v>Corporate Services - Enterprise Change</v>
      </c>
      <c r="C45" s="197" t="s">
        <v>63</v>
      </c>
      <c r="D45" s="96">
        <f>'Functionalized Accounts'!F45</f>
        <v>3500000</v>
      </c>
      <c r="E45" s="77">
        <f>VLOOKUP('TB Allocation Details'!$C42, Allocators!$B$9:$E$196, MATCH(E$8, Allocators!$B$9:$E$9, 0),FALSE)*$D45</f>
        <v>3305858.3460669057</v>
      </c>
      <c r="F45" s="97">
        <f>VLOOKUP('TB Allocation Details'!$C42, Allocators!$B$9:$E$196, MATCH(F$8, Allocators!$B$9:$E$9, 0),FALSE)*$D45</f>
        <v>194141.65393309476</v>
      </c>
    </row>
    <row r="46" spans="2:6" ht="12.75" x14ac:dyDescent="0.2">
      <c r="B46" s="183" t="str">
        <f>'Functionalized Accounts'!B46</f>
        <v>Human Resources</v>
      </c>
      <c r="C46" s="197" t="s">
        <v>106</v>
      </c>
      <c r="D46" s="96">
        <f>'Functionalized Accounts'!F46</f>
        <v>6400000</v>
      </c>
      <c r="E46" s="77">
        <f>VLOOKUP('TB Allocation Details'!$C43, Allocators!$B$9:$E$196, MATCH(E$8, Allocators!$B$9:$E$9, 0),FALSE)*$D46</f>
        <v>6044998.1185223414</v>
      </c>
      <c r="F46" s="97">
        <f>VLOOKUP('TB Allocation Details'!$C43, Allocators!$B$9:$E$196, MATCH(F$8, Allocators!$B$9:$E$9, 0),FALSE)*$D46</f>
        <v>355001.88147765899</v>
      </c>
    </row>
    <row r="47" spans="2:6" ht="12.75" x14ac:dyDescent="0.2">
      <c r="B47" s="183" t="str">
        <f>'Functionalized Accounts'!B47</f>
        <v>Corporate Adjustment - General</v>
      </c>
      <c r="C47" s="197" t="s">
        <v>64</v>
      </c>
      <c r="D47" s="96">
        <f>'Functionalized Accounts'!F47</f>
        <v>600000</v>
      </c>
      <c r="E47" s="77">
        <f>VLOOKUP('TB Allocation Details'!$C44, Allocators!$B$9:$E$196, MATCH(E$8, Allocators!$B$9:$E$9, 0),FALSE)*$D47</f>
        <v>566718.57361146947</v>
      </c>
      <c r="F47" s="97">
        <f>VLOOKUP('TB Allocation Details'!$C44, Allocators!$B$9:$E$196, MATCH(F$8, Allocators!$B$9:$E$9, 0),FALSE)*$D47</f>
        <v>33281.426388530534</v>
      </c>
    </row>
    <row r="48" spans="2:6" ht="12.75" x14ac:dyDescent="0.2">
      <c r="B48" s="183" t="str">
        <f>'Functionalized Accounts'!B48</f>
        <v>Market Renewal</v>
      </c>
      <c r="C48" s="197" t="s">
        <v>107</v>
      </c>
      <c r="D48" s="96">
        <f>'Functionalized Accounts'!F48</f>
        <v>4400000</v>
      </c>
      <c r="E48" s="77">
        <f>VLOOKUP('TB Allocation Details'!$C45, Allocators!$B$9:$E$196, MATCH(E$8, Allocators!$B$9:$E$9, 0),FALSE)*$D48</f>
        <v>4117040.787171375</v>
      </c>
      <c r="F48" s="97">
        <f>VLOOKUP('TB Allocation Details'!$C45, Allocators!$B$9:$E$196, MATCH(F$8, Allocators!$B$9:$E$9, 0),FALSE)*$D48</f>
        <v>282959.21282862511</v>
      </c>
    </row>
    <row r="49" spans="2:6" ht="12.75" x14ac:dyDescent="0.2">
      <c r="B49" s="183" t="str">
        <f>'Functionalized Accounts'!B49</f>
        <v>Interest, Amortization and Registration Fees - Amortization</v>
      </c>
      <c r="C49" s="197" t="s">
        <v>31</v>
      </c>
      <c r="D49" s="96">
        <f>'Functionalized Accounts'!F49</f>
        <v>22000000</v>
      </c>
      <c r="E49" s="77">
        <f>VLOOKUP('TB Allocation Details'!$C46, Allocators!$B$9:$E$196, MATCH(E$8, Allocators!$B$9:$E$9, 0),FALSE)*$D49</f>
        <v>20585203.935856875</v>
      </c>
      <c r="F49" s="97">
        <f>VLOOKUP('TB Allocation Details'!$C46, Allocators!$B$9:$E$196, MATCH(F$8, Allocators!$B$9:$E$9, 0),FALSE)*$D49</f>
        <v>1414796.0641431257</v>
      </c>
    </row>
    <row r="50" spans="2:6" ht="12.75" x14ac:dyDescent="0.2">
      <c r="B50" s="183" t="str">
        <f>'Functionalized Accounts'!B50</f>
        <v>Interest, Amortization and Registration Fees - Interest</v>
      </c>
      <c r="C50" s="197" t="s">
        <v>59</v>
      </c>
      <c r="D50" s="96">
        <f>'Functionalized Accounts'!F50</f>
        <v>-9700000</v>
      </c>
      <c r="E50" s="77">
        <f>VLOOKUP('TB Allocation Details'!$C47, Allocators!$B$9:$E$196, MATCH(E$8, Allocators!$B$9:$E$9, 0),FALSE)*$D50</f>
        <v>-9076203.5535368957</v>
      </c>
      <c r="F50" s="97">
        <f>VLOOKUP('TB Allocation Details'!$C47, Allocators!$B$9:$E$196, MATCH(F$8, Allocators!$B$9:$E$9, 0),FALSE)*$D50</f>
        <v>-623796.44646310539</v>
      </c>
    </row>
    <row r="51" spans="2:6" ht="12.75" x14ac:dyDescent="0.2">
      <c r="B51" s="183" t="str">
        <f>'Functionalized Accounts'!B51</f>
        <v>Interest, Amortization and Registration Fees - Registration Fees</v>
      </c>
      <c r="C51" s="197" t="s">
        <v>172</v>
      </c>
      <c r="D51" s="96">
        <f>'Functionalized Accounts'!F51</f>
        <v>-500000</v>
      </c>
      <c r="E51" s="77">
        <f>VLOOKUP('TB Allocation Details'!$C48, Allocators!$B$9:$E$196, MATCH(E$8, Allocators!$B$9:$E$9, 0),FALSE)*$D51</f>
        <v>-500000</v>
      </c>
      <c r="F51" s="97">
        <f>VLOOKUP('TB Allocation Details'!$C48, Allocators!$B$9:$E$196, MATCH(F$8, Allocators!$B$9:$E$9, 0),FALSE)*$D51</f>
        <v>0</v>
      </c>
    </row>
    <row r="52" spans="2:6" ht="12.75" x14ac:dyDescent="0.2">
      <c r="B52" s="183" t="str">
        <f>'Functionalized Accounts'!B57</f>
        <v>Assets - Assets</v>
      </c>
      <c r="C52" s="197" t="s">
        <v>30</v>
      </c>
      <c r="D52" s="96">
        <f>'Functionalized Accounts'!F57</f>
        <v>56423729.439999998</v>
      </c>
      <c r="E52" s="77">
        <f>VLOOKUP('TB Allocation Details'!$C49, Allocators!$B$9:$E$196, MATCH(E$8, Allocators!$B$9:$E$9, 0),FALSE)*$D52</f>
        <v>52795180.788364157</v>
      </c>
      <c r="F52" s="97">
        <f>VLOOKUP('TB Allocation Details'!$C49, Allocators!$B$9:$E$196, MATCH(F$8, Allocators!$B$9:$E$9, 0),FALSE)*$D52</f>
        <v>3628548.6516358457</v>
      </c>
    </row>
    <row r="53" spans="2:6" ht="12.75" x14ac:dyDescent="0.2">
      <c r="B53" s="183" t="str">
        <f>'Functionalized Accounts'!B58</f>
        <v>Assets - Market systems &amp; applications</v>
      </c>
      <c r="C53" s="197" t="s">
        <v>30</v>
      </c>
      <c r="D53" s="96">
        <f>'Functionalized Accounts'!F58</f>
        <v>338405073.16000003</v>
      </c>
      <c r="E53" s="77">
        <f>VLOOKUP('TB Allocation Details'!$C50, Allocators!$B$9:$E$196, MATCH(E$8, Allocators!$B$9:$E$9, 0),FALSE)*$D53</f>
        <v>316642611.08759844</v>
      </c>
      <c r="F53" s="97">
        <f>VLOOKUP('TB Allocation Details'!$C50, Allocators!$B$9:$E$196, MATCH(F$8, Allocators!$B$9:$E$9, 0),FALSE)*$D53</f>
        <v>21762462.072401568</v>
      </c>
    </row>
    <row r="54" spans="2:6" ht="12.75" x14ac:dyDescent="0.2">
      <c r="B54" s="183" t="str">
        <f>'Functionalized Accounts'!B59</f>
        <v>Assets - Infrastructure &amp; other assets</v>
      </c>
      <c r="C54" s="197" t="s">
        <v>30</v>
      </c>
      <c r="D54" s="96">
        <f>'Functionalized Accounts'!F59</f>
        <v>77009333.519999996</v>
      </c>
      <c r="E54" s="77">
        <f>VLOOKUP('TB Allocation Details'!$C51, Allocators!$B$9:$E$196, MATCH(E$8, Allocators!$B$9:$E$9, 0),FALSE)*$D54</f>
        <v>72056947.066982672</v>
      </c>
      <c r="F54" s="97">
        <f>VLOOKUP('TB Allocation Details'!$C51, Allocators!$B$9:$E$196, MATCH(F$8, Allocators!$B$9:$E$9, 0),FALSE)*$D54</f>
        <v>4952386.4530173298</v>
      </c>
    </row>
    <row r="55" spans="2:6" ht="12.75" x14ac:dyDescent="0.2">
      <c r="B55" s="183" t="str">
        <f>'Functionalized Accounts'!B60</f>
        <v>Assets - Assets Under Construction</v>
      </c>
      <c r="C55" s="197" t="s">
        <v>30</v>
      </c>
      <c r="D55" s="96">
        <f>'Functionalized Accounts'!F60</f>
        <v>26492185.140000001</v>
      </c>
      <c r="E55" s="77">
        <f>VLOOKUP('TB Allocation Details'!$C52, Allocators!$B$9:$E$196, MATCH(E$8, Allocators!$B$9:$E$9, 0),FALSE)*$D55</f>
        <v>24788501.536971685</v>
      </c>
      <c r="F55" s="97">
        <f>VLOOKUP('TB Allocation Details'!$C52, Allocators!$B$9:$E$196, MATCH(F$8, Allocators!$B$9:$E$9, 0),FALSE)*$D55</f>
        <v>1703683.6030283181</v>
      </c>
    </row>
    <row r="56" spans="2:6" ht="13.5" thickBot="1" x14ac:dyDescent="0.25">
      <c r="B56" s="184" t="str">
        <f>'Functionalized Accounts'!B61</f>
        <v>Accumulated Amortization</v>
      </c>
      <c r="C56" s="198" t="s">
        <v>30</v>
      </c>
      <c r="D56" s="199">
        <f>'Functionalized Accounts'!F61</f>
        <v>-395683331.63999999</v>
      </c>
      <c r="E56" s="200">
        <f>'Source Data for Allocators'!D22</f>
        <v>-370237367.08312225</v>
      </c>
      <c r="F56" s="201">
        <f>'Source Data for Allocators'!E22</f>
        <v>-25445964.556877777</v>
      </c>
    </row>
    <row r="57" spans="2:6" ht="13.5" thickBot="1" x14ac:dyDescent="0.25">
      <c r="C57" s="79"/>
      <c r="D57" s="77"/>
      <c r="E57" s="77"/>
      <c r="F57" s="77"/>
    </row>
    <row r="58" spans="2:6" s="155" customFormat="1" ht="12.75" x14ac:dyDescent="0.2">
      <c r="B58" s="250" t="s">
        <v>83</v>
      </c>
      <c r="C58" s="251"/>
      <c r="D58" s="252">
        <f>SUM(D9:D56)</f>
        <v>325576989.62</v>
      </c>
      <c r="E58" s="252">
        <f>SUM(E9:E56)</f>
        <v>306472637.32299781</v>
      </c>
      <c r="F58" s="253">
        <f>SUM(F9:F56)</f>
        <v>19104352.297002181</v>
      </c>
    </row>
    <row r="59" spans="2:6" ht="13.5" thickBot="1" x14ac:dyDescent="0.25">
      <c r="B59" s="254" t="s">
        <v>84</v>
      </c>
      <c r="C59" s="255"/>
      <c r="D59" s="256" t="str">
        <f>IF(D58=SUM(E58:F58),"Okay","Error")</f>
        <v>Okay</v>
      </c>
      <c r="E59" s="257"/>
      <c r="F59" s="258"/>
    </row>
    <row r="60" spans="2:6" ht="12.75" x14ac:dyDescent="0.2">
      <c r="C60" s="79"/>
      <c r="D60" s="77"/>
      <c r="E60" s="77"/>
      <c r="F60" s="77"/>
    </row>
  </sheetData>
  <phoneticPr fontId="8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9"/>
  </sheetPr>
  <dimension ref="A1:H66"/>
  <sheetViews>
    <sheetView view="pageLayout" topLeftCell="H1" zoomScaleNormal="100" workbookViewId="0">
      <pane xSplit="11265"/>
      <selection activeCell="H22" sqref="H22"/>
      <selection pane="topRight" activeCell="C1" sqref="C1"/>
    </sheetView>
  </sheetViews>
  <sheetFormatPr defaultColWidth="9.140625" defaultRowHeight="11.25" x14ac:dyDescent="0.2"/>
  <cols>
    <col min="1" max="1" width="2.7109375" style="165" customWidth="1"/>
    <col min="2" max="2" width="72.42578125" style="162" customWidth="1"/>
    <col min="3" max="3" width="15.85546875" style="163" customWidth="1"/>
    <col min="4" max="4" width="15.7109375" style="164" customWidth="1"/>
    <col min="5" max="5" width="12.28515625" style="164" bestFit="1" customWidth="1"/>
    <col min="6" max="7" width="9.140625" style="157"/>
    <col min="8" max="8" width="7.7109375" style="167" bestFit="1" customWidth="1"/>
    <col min="9" max="16384" width="9.140625" style="157"/>
  </cols>
  <sheetData>
    <row r="1" spans="1:8" ht="20.25" x14ac:dyDescent="0.3">
      <c r="A1" s="442" t="s">
        <v>183</v>
      </c>
      <c r="B1" s="158"/>
      <c r="C1" s="159"/>
      <c r="E1" s="440" t="str">
        <f>"IESO "&amp;'Revenue to Cost|RR'!H22&amp;" Fee Model"</f>
        <v>IESO 2024 Fee Model</v>
      </c>
    </row>
    <row r="2" spans="1:8" x14ac:dyDescent="0.2">
      <c r="A2" s="160"/>
      <c r="B2" s="160"/>
      <c r="C2" s="161"/>
      <c r="D2" s="161"/>
      <c r="E2" s="160"/>
    </row>
    <row r="3" spans="1:8" s="170" customFormat="1" ht="18" x14ac:dyDescent="0.2">
      <c r="A3" s="168"/>
      <c r="B3" s="169"/>
      <c r="C3" s="480"/>
      <c r="D3" s="480"/>
      <c r="E3" s="480"/>
      <c r="H3" s="171"/>
    </row>
    <row r="4" spans="1:8" s="166" customFormat="1" ht="12.75" x14ac:dyDescent="0.2">
      <c r="A4" s="172"/>
      <c r="B4" s="173"/>
      <c r="C4" s="289"/>
      <c r="D4" s="174">
        <v>1</v>
      </c>
      <c r="E4" s="292">
        <v>2</v>
      </c>
      <c r="H4" s="175"/>
    </row>
    <row r="5" spans="1:8" s="166" customFormat="1" ht="15" x14ac:dyDescent="0.2">
      <c r="A5" s="168"/>
      <c r="B5" s="169"/>
      <c r="C5" s="290" t="s">
        <v>32</v>
      </c>
      <c r="D5" s="291" t="str">
        <f>'Revenue to Cost|RR'!D8</f>
        <v>Domestic</v>
      </c>
      <c r="E5" s="291" t="str">
        <f>'Revenue to Cost|RR'!E8</f>
        <v>Export</v>
      </c>
      <c r="H5" s="175"/>
    </row>
    <row r="6" spans="1:8" s="166" customFormat="1" ht="15" x14ac:dyDescent="0.2">
      <c r="A6" s="168"/>
      <c r="B6" s="173"/>
      <c r="C6" s="177"/>
      <c r="D6" s="176"/>
      <c r="E6" s="176"/>
      <c r="H6" s="175"/>
    </row>
    <row r="7" spans="1:8" s="166" customFormat="1" ht="16.5" thickBot="1" x14ac:dyDescent="0.25">
      <c r="A7" s="178" t="s">
        <v>95</v>
      </c>
      <c r="B7" s="173"/>
      <c r="C7" s="177"/>
      <c r="D7" s="176"/>
      <c r="E7" s="176"/>
      <c r="H7" s="175"/>
    </row>
    <row r="8" spans="1:8" s="166" customFormat="1" ht="12.75" x14ac:dyDescent="0.2">
      <c r="A8" s="165"/>
      <c r="B8" s="259" t="str">
        <f>'Summary by Class &amp; Accounts'!B52</f>
        <v>Assets - Assets</v>
      </c>
      <c r="C8" s="260">
        <f t="shared" ref="C8:C11" si="0">SUM(D8:E8)</f>
        <v>56423729.440000005</v>
      </c>
      <c r="D8" s="261">
        <f>'Summary by Class &amp; Accounts'!E52</f>
        <v>52795180.788364157</v>
      </c>
      <c r="E8" s="262">
        <f>'Summary by Class &amp; Accounts'!F52</f>
        <v>3628548.6516358457</v>
      </c>
      <c r="H8" s="179"/>
    </row>
    <row r="9" spans="1:8" s="166" customFormat="1" ht="12.75" x14ac:dyDescent="0.2">
      <c r="A9" s="165"/>
      <c r="B9" s="263" t="str">
        <f>'Summary by Class &amp; Accounts'!B53</f>
        <v>Assets - Market systems &amp; applications</v>
      </c>
      <c r="C9" s="264">
        <f t="shared" si="0"/>
        <v>338405073.16000003</v>
      </c>
      <c r="D9" s="265">
        <f>'Summary by Class &amp; Accounts'!E53</f>
        <v>316642611.08759844</v>
      </c>
      <c r="E9" s="266">
        <f>'Summary by Class &amp; Accounts'!F53</f>
        <v>21762462.072401568</v>
      </c>
      <c r="H9" s="179"/>
    </row>
    <row r="10" spans="1:8" s="166" customFormat="1" ht="12.75" x14ac:dyDescent="0.2">
      <c r="A10" s="165"/>
      <c r="B10" s="263" t="str">
        <f>'Summary by Class &amp; Accounts'!B54</f>
        <v>Assets - Infrastructure &amp; other assets</v>
      </c>
      <c r="C10" s="264">
        <f t="shared" si="0"/>
        <v>77009333.519999996</v>
      </c>
      <c r="D10" s="265">
        <f>'Summary by Class &amp; Accounts'!E54</f>
        <v>72056947.066982672</v>
      </c>
      <c r="E10" s="266">
        <f>'Summary by Class &amp; Accounts'!F54</f>
        <v>4952386.4530173298</v>
      </c>
      <c r="H10" s="179"/>
    </row>
    <row r="11" spans="1:8" s="166" customFormat="1" ht="13.5" thickBot="1" x14ac:dyDescent="0.25">
      <c r="A11" s="165"/>
      <c r="B11" s="267" t="str">
        <f>'Summary by Class &amp; Accounts'!B55</f>
        <v>Assets - Assets Under Construction</v>
      </c>
      <c r="C11" s="268">
        <f t="shared" si="0"/>
        <v>26492185.140000004</v>
      </c>
      <c r="D11" s="269">
        <f>'Summary by Class &amp; Accounts'!E55</f>
        <v>24788501.536971685</v>
      </c>
      <c r="E11" s="270">
        <f>'Summary by Class &amp; Accounts'!F55</f>
        <v>1703683.6030283181</v>
      </c>
      <c r="H11" s="179"/>
    </row>
    <row r="12" spans="1:8" s="166" customFormat="1" ht="13.5" thickBot="1" x14ac:dyDescent="0.25">
      <c r="A12" s="165"/>
      <c r="B12" s="173"/>
      <c r="C12" s="177"/>
      <c r="D12" s="176"/>
      <c r="E12" s="176"/>
      <c r="H12" s="179"/>
    </row>
    <row r="13" spans="1:8" s="166" customFormat="1" ht="13.5" thickBot="1" x14ac:dyDescent="0.25">
      <c r="A13" s="165"/>
      <c r="B13" s="271" t="s">
        <v>71</v>
      </c>
      <c r="C13" s="272">
        <f>SUM(D13:E13)</f>
        <v>498330321.26000005</v>
      </c>
      <c r="D13" s="273">
        <f>SUM(D8:D11)</f>
        <v>466283240.47991699</v>
      </c>
      <c r="E13" s="274">
        <f>SUM(E8:E11)</f>
        <v>32047080.78008306</v>
      </c>
      <c r="H13" s="179"/>
    </row>
    <row r="14" spans="1:8" s="166" customFormat="1" ht="12.75" x14ac:dyDescent="0.2">
      <c r="A14" s="165"/>
      <c r="B14" s="173"/>
      <c r="C14" s="177"/>
      <c r="D14" s="176"/>
      <c r="E14" s="176"/>
      <c r="H14" s="179"/>
    </row>
    <row r="15" spans="1:8" s="166" customFormat="1" ht="15.75" x14ac:dyDescent="0.2">
      <c r="A15" s="178" t="s">
        <v>57</v>
      </c>
      <c r="B15" s="173"/>
      <c r="C15" s="177"/>
      <c r="D15" s="176"/>
      <c r="E15" s="176"/>
      <c r="H15" s="179"/>
    </row>
    <row r="16" spans="1:8" s="166" customFormat="1" ht="16.5" thickBot="1" x14ac:dyDescent="0.25">
      <c r="A16" s="178"/>
      <c r="B16" s="173"/>
      <c r="C16" s="177"/>
      <c r="D16" s="176"/>
      <c r="E16" s="176"/>
      <c r="H16" s="179"/>
    </row>
    <row r="17" spans="1:8" s="166" customFormat="1" ht="12.75" x14ac:dyDescent="0.2">
      <c r="A17" s="165"/>
      <c r="B17" s="259" t="str">
        <f>B8</f>
        <v>Assets - Assets</v>
      </c>
      <c r="C17" s="260">
        <f>Assets!D7</f>
        <v>-28494310.579999998</v>
      </c>
      <c r="D17" s="261">
        <f t="shared" ref="D17:E20" si="1">$C17*D8/$C8</f>
        <v>-26661872.468224734</v>
      </c>
      <c r="E17" s="262">
        <f t="shared" si="1"/>
        <v>-1832438.1117752644</v>
      </c>
      <c r="H17" s="179"/>
    </row>
    <row r="18" spans="1:8" s="166" customFormat="1" ht="12.75" x14ac:dyDescent="0.2">
      <c r="A18" s="165"/>
      <c r="B18" s="263" t="str">
        <f>B9</f>
        <v>Assets - Market systems &amp; applications</v>
      </c>
      <c r="C18" s="264">
        <f>Assets!D8</f>
        <v>-302900825.25999999</v>
      </c>
      <c r="D18" s="265">
        <f t="shared" si="1"/>
        <v>-283421602.74165666</v>
      </c>
      <c r="E18" s="266">
        <f t="shared" si="1"/>
        <v>-19479222.518343303</v>
      </c>
      <c r="H18" s="179"/>
    </row>
    <row r="19" spans="1:8" s="166" customFormat="1" ht="12.75" x14ac:dyDescent="0.2">
      <c r="A19" s="165"/>
      <c r="B19" s="263" t="str">
        <f>B10</f>
        <v>Assets - Infrastructure &amp; other assets</v>
      </c>
      <c r="C19" s="264">
        <f>Assets!D9</f>
        <v>-64288195.800000004</v>
      </c>
      <c r="D19" s="265">
        <f t="shared" si="1"/>
        <v>-60153891.873240799</v>
      </c>
      <c r="E19" s="266">
        <f t="shared" si="1"/>
        <v>-4134303.9267592099</v>
      </c>
      <c r="H19" s="179"/>
    </row>
    <row r="20" spans="1:8" s="166" customFormat="1" ht="13.5" thickBot="1" x14ac:dyDescent="0.25">
      <c r="A20" s="165"/>
      <c r="B20" s="267" t="str">
        <f>B11</f>
        <v>Assets - Assets Under Construction</v>
      </c>
      <c r="C20" s="268">
        <f>Assets!D10</f>
        <v>0</v>
      </c>
      <c r="D20" s="269">
        <f t="shared" si="1"/>
        <v>0</v>
      </c>
      <c r="E20" s="270">
        <f t="shared" si="1"/>
        <v>0</v>
      </c>
      <c r="H20" s="179"/>
    </row>
    <row r="21" spans="1:8" s="166" customFormat="1" ht="13.5" thickBot="1" x14ac:dyDescent="0.25">
      <c r="A21" s="165"/>
      <c r="B21" s="173"/>
      <c r="C21" s="177"/>
      <c r="D21" s="176"/>
      <c r="E21" s="176"/>
      <c r="H21" s="179"/>
    </row>
    <row r="22" spans="1:8" s="166" customFormat="1" ht="13.5" thickBot="1" x14ac:dyDescent="0.25">
      <c r="A22" s="165"/>
      <c r="B22" s="271" t="s">
        <v>57</v>
      </c>
      <c r="C22" s="272">
        <f>SUM(D22:E22)</f>
        <v>-395683331.64000005</v>
      </c>
      <c r="D22" s="273">
        <f>SUM(D17:D20)</f>
        <v>-370237367.08312225</v>
      </c>
      <c r="E22" s="274">
        <f>SUM(E17:E20)</f>
        <v>-25445964.556877777</v>
      </c>
      <c r="H22" s="179"/>
    </row>
    <row r="23" spans="1:8" s="166" customFormat="1" ht="13.5" thickBot="1" x14ac:dyDescent="0.25">
      <c r="A23" s="165"/>
      <c r="B23" s="173"/>
      <c r="C23" s="177"/>
      <c r="D23" s="176"/>
      <c r="E23" s="176"/>
      <c r="H23" s="179"/>
    </row>
    <row r="24" spans="1:8" s="166" customFormat="1" ht="13.5" thickBot="1" x14ac:dyDescent="0.25">
      <c r="A24" s="165"/>
      <c r="B24" s="271" t="s">
        <v>25</v>
      </c>
      <c r="C24" s="272">
        <f>SUM(D24:E24)</f>
        <v>102646989.62000002</v>
      </c>
      <c r="D24" s="275">
        <f>D13+D22</f>
        <v>96045873.396794736</v>
      </c>
      <c r="E24" s="276">
        <f>E13+E22</f>
        <v>6601116.2232052833</v>
      </c>
      <c r="H24" s="179"/>
    </row>
    <row r="25" spans="1:8" s="166" customFormat="1" ht="12.75" x14ac:dyDescent="0.2">
      <c r="A25" s="172"/>
      <c r="B25" s="173"/>
      <c r="C25" s="177"/>
      <c r="D25" s="176"/>
      <c r="E25" s="176"/>
      <c r="H25" s="179"/>
    </row>
    <row r="27" spans="1:8" ht="15.75" x14ac:dyDescent="0.2">
      <c r="A27" s="178" t="s">
        <v>72</v>
      </c>
      <c r="B27" s="173"/>
      <c r="C27" s="177"/>
      <c r="D27" s="176"/>
      <c r="E27" s="176"/>
    </row>
    <row r="28" spans="1:8" ht="16.5" thickBot="1" x14ac:dyDescent="0.25">
      <c r="A28" s="178"/>
      <c r="B28" s="173"/>
      <c r="C28" s="177"/>
      <c r="D28" s="176"/>
      <c r="E28" s="176"/>
    </row>
    <row r="29" spans="1:8" ht="12.75" x14ac:dyDescent="0.2">
      <c r="B29" s="259" t="str">
        <f>B8</f>
        <v>Assets - Assets</v>
      </c>
      <c r="C29" s="260">
        <f>Assets!I7</f>
        <v>698498.07430663123</v>
      </c>
      <c r="D29" s="261">
        <f>$C29*D8/$C8</f>
        <v>653578.42310933245</v>
      </c>
      <c r="E29" s="262">
        <f t="shared" ref="E29" si="2">$C29*E8/$C8</f>
        <v>44919.65119729883</v>
      </c>
    </row>
    <row r="30" spans="1:8" ht="12.75" x14ac:dyDescent="0.2">
      <c r="B30" s="263" t="str">
        <f>B9</f>
        <v>Assets - Market systems &amp; applications</v>
      </c>
      <c r="C30" s="264">
        <f>Assets!I8</f>
        <v>16262430.971111033</v>
      </c>
      <c r="D30" s="265">
        <f>$C30*D9/$C9</f>
        <v>15216611.72877798</v>
      </c>
      <c r="E30" s="266">
        <f>$C30*E9/$C9</f>
        <v>1045819.2423330526</v>
      </c>
    </row>
    <row r="31" spans="1:8" ht="12.75" x14ac:dyDescent="0.2">
      <c r="B31" s="263" t="str">
        <f>B10</f>
        <v>Assets - Infrastructure &amp; other assets</v>
      </c>
      <c r="C31" s="264">
        <f>Assets!I9</f>
        <v>5039070.9545823345</v>
      </c>
      <c r="D31" s="265">
        <f>$C31*D10/$C10</f>
        <v>4715013.7839695606</v>
      </c>
      <c r="E31" s="266">
        <f>$C31*E10/$C10</f>
        <v>324057.17061277403</v>
      </c>
    </row>
    <row r="32" spans="1:8" ht="13.5" thickBot="1" x14ac:dyDescent="0.25">
      <c r="B32" s="267" t="str">
        <f>B11</f>
        <v>Assets - Assets Under Construction</v>
      </c>
      <c r="C32" s="268">
        <f>Assets!I10</f>
        <v>0</v>
      </c>
      <c r="D32" s="269">
        <f>$C32*D11/$C11</f>
        <v>0</v>
      </c>
      <c r="E32" s="270">
        <f>$C32*E11/$C11</f>
        <v>0</v>
      </c>
    </row>
    <row r="33" spans="1:5" ht="13.5" thickBot="1" x14ac:dyDescent="0.25">
      <c r="B33" s="173"/>
      <c r="C33" s="177"/>
      <c r="D33" s="176"/>
      <c r="E33" s="176"/>
    </row>
    <row r="34" spans="1:5" ht="13.5" thickBot="1" x14ac:dyDescent="0.25">
      <c r="B34" s="271" t="s">
        <v>82</v>
      </c>
      <c r="C34" s="272">
        <f>SUM(D34:E34)</f>
        <v>21999999.999999996</v>
      </c>
      <c r="D34" s="273">
        <f>SUM(D29:D32)</f>
        <v>20585203.935856871</v>
      </c>
      <c r="E34" s="274">
        <f>SUM(E29:E32)</f>
        <v>1414796.0641431254</v>
      </c>
    </row>
    <row r="37" spans="1:5" ht="15.75" x14ac:dyDescent="0.2">
      <c r="A37" s="178" t="s">
        <v>114</v>
      </c>
    </row>
    <row r="38" spans="1:5" ht="12" thickBot="1" x14ac:dyDescent="0.25"/>
    <row r="39" spans="1:5" ht="12.75" x14ac:dyDescent="0.2">
      <c r="B39" s="259" t="str">
        <f>'Summary by Class &amp; Accounts'!B10</f>
        <v xml:space="preserve">Markets &amp; Reliability -  VP Office </v>
      </c>
      <c r="C39" s="260">
        <f>'Summary by Class &amp; Accounts'!D10</f>
        <v>1100000</v>
      </c>
      <c r="D39" s="261">
        <f>'Summary by Class &amp; Accounts'!E10</f>
        <v>1029260.1967928439</v>
      </c>
      <c r="E39" s="262">
        <f>'Summary by Class &amp; Accounts'!F10</f>
        <v>70739.803207156277</v>
      </c>
    </row>
    <row r="40" spans="1:5" ht="12.75" x14ac:dyDescent="0.2">
      <c r="B40" s="263" t="str">
        <f>'Summary by Class &amp; Accounts'!B11</f>
        <v xml:space="preserve">Markets &amp; Reliability -  Power System Assessments </v>
      </c>
      <c r="C40" s="264">
        <f>'Summary by Class &amp; Accounts'!D11</f>
        <v>11600000</v>
      </c>
      <c r="D40" s="265">
        <f>'Summary by Class &amp; Accounts'!E11</f>
        <v>10854016.620724535</v>
      </c>
      <c r="E40" s="266">
        <f>'Summary by Class &amp; Accounts'!F11</f>
        <v>745983.3792754662</v>
      </c>
    </row>
    <row r="41" spans="1:5" ht="12.75" x14ac:dyDescent="0.2">
      <c r="B41" s="263" t="str">
        <f>'Summary by Class &amp; Accounts'!B12</f>
        <v xml:space="preserve">Markets &amp; Reliability -  Market Operations </v>
      </c>
      <c r="C41" s="264">
        <f>'Summary by Class &amp; Accounts'!D12</f>
        <v>17200000</v>
      </c>
      <c r="D41" s="265">
        <f>'Summary by Class &amp; Accounts'!E12</f>
        <v>16093886.713488102</v>
      </c>
      <c r="E41" s="266">
        <f>'Summary by Class &amp; Accounts'!F12</f>
        <v>1106113.2865118983</v>
      </c>
    </row>
    <row r="42" spans="1:5" ht="12.75" x14ac:dyDescent="0.2">
      <c r="B42" s="263" t="str">
        <f>'Summary by Class &amp; Accounts'!B13</f>
        <v xml:space="preserve">Markets &amp; Reliability -  Wholesale Market Development </v>
      </c>
      <c r="C42" s="264">
        <f>'Summary by Class &amp; Accounts'!D13</f>
        <v>4600000.0000000009</v>
      </c>
      <c r="D42" s="265">
        <f>'Summary by Class &amp; Accounts'!E13</f>
        <v>4304179.004770075</v>
      </c>
      <c r="E42" s="266">
        <f>'Summary by Class &amp; Accounts'!F13</f>
        <v>295820.99522992631</v>
      </c>
    </row>
    <row r="43" spans="1:5" ht="12.75" x14ac:dyDescent="0.2">
      <c r="B43" s="263" t="str">
        <f>'Summary by Class &amp; Accounts'!B14</f>
        <v xml:space="preserve">Markets &amp; Reliability -  Reliability Assurance &amp; Operational Assessments </v>
      </c>
      <c r="C43" s="264">
        <f>'Summary by Class &amp; Accounts'!D14</f>
        <v>5800000</v>
      </c>
      <c r="D43" s="265">
        <f>'Summary by Class &amp; Accounts'!E14</f>
        <v>5427008.3103622673</v>
      </c>
      <c r="E43" s="266">
        <f>'Summary by Class &amp; Accounts'!F14</f>
        <v>372991.6896377331</v>
      </c>
    </row>
    <row r="44" spans="1:5" ht="25.5" x14ac:dyDescent="0.2">
      <c r="B44" s="263" t="str">
        <f>'Summary by Class &amp; Accounts'!B15</f>
        <v xml:space="preserve">Planning, Conservation and Resource Adequacy -  VP Office and Planning Projects &amp; Sustainability </v>
      </c>
      <c r="C44" s="264">
        <f>'Summary by Class &amp; Accounts'!D15</f>
        <v>1100000</v>
      </c>
      <c r="D44" s="265">
        <f>'Summary by Class &amp; Accounts'!E15</f>
        <v>1100000</v>
      </c>
      <c r="E44" s="266">
        <f>'Summary by Class &amp; Accounts'!F15</f>
        <v>0</v>
      </c>
    </row>
    <row r="45" spans="1:5" ht="12.75" x14ac:dyDescent="0.2">
      <c r="B45" s="263" t="str">
        <f>'Summary by Class &amp; Accounts'!B16</f>
        <v xml:space="preserve">Planning, Conservation and Resource Adequacy -  Resource Planning </v>
      </c>
      <c r="C45" s="264">
        <f>'Summary by Class &amp; Accounts'!D16</f>
        <v>6400000</v>
      </c>
      <c r="D45" s="265">
        <f>'Summary by Class &amp; Accounts'!E16</f>
        <v>6400000</v>
      </c>
      <c r="E45" s="266">
        <f>'Summary by Class &amp; Accounts'!F16</f>
        <v>0</v>
      </c>
    </row>
    <row r="46" spans="1:5" ht="12.75" x14ac:dyDescent="0.2">
      <c r="B46" s="263" t="str">
        <f>'Summary by Class &amp; Accounts'!B17</f>
        <v xml:space="preserve">Planning, Conservation and Resource Adequacy -  Transmission Planning </v>
      </c>
      <c r="C46" s="264">
        <f>'Summary by Class &amp; Accounts'!D17</f>
        <v>6900000</v>
      </c>
      <c r="D46" s="265">
        <f>'Summary by Class &amp; Accounts'!E17</f>
        <v>6900000</v>
      </c>
      <c r="E46" s="266">
        <f>'Summary by Class &amp; Accounts'!F17</f>
        <v>0</v>
      </c>
    </row>
    <row r="47" spans="1:5" ht="12.75" x14ac:dyDescent="0.2">
      <c r="B47" s="263" t="str">
        <f>'Summary by Class &amp; Accounts'!B18</f>
        <v xml:space="preserve">Planning, Conservation and Resource Adequacy -  Resource &amp; System Adequacy </v>
      </c>
      <c r="C47" s="264">
        <f>'Summary by Class &amp; Accounts'!D18</f>
        <v>7100000</v>
      </c>
      <c r="D47" s="265">
        <f>'Summary by Class &amp; Accounts'!E18</f>
        <v>7100000</v>
      </c>
      <c r="E47" s="266">
        <f>'Summary by Class &amp; Accounts'!F18</f>
        <v>0</v>
      </c>
    </row>
    <row r="48" spans="1:5" ht="12.75" x14ac:dyDescent="0.2">
      <c r="B48" s="263" t="str">
        <f>'Summary by Class &amp; Accounts'!B19</f>
        <v xml:space="preserve">Planning, Conservation and Resource Adequacy -  Energy Efficiency </v>
      </c>
      <c r="C48" s="264">
        <f>'Summary by Class &amp; Accounts'!D19</f>
        <v>6730000</v>
      </c>
      <c r="D48" s="265">
        <f>'Summary by Class &amp; Accounts'!E19</f>
        <v>6730000</v>
      </c>
      <c r="E48" s="266">
        <f>'Summary by Class &amp; Accounts'!F19</f>
        <v>0</v>
      </c>
    </row>
    <row r="49" spans="2:5" ht="12.75" x14ac:dyDescent="0.2">
      <c r="B49" s="263" t="str">
        <f>'Summary by Class &amp; Accounts'!B20</f>
        <v xml:space="preserve">Corporate Relations, Stakeholder Engagement and Innovation -  VP Office </v>
      </c>
      <c r="C49" s="264">
        <f>'Summary by Class &amp; Accounts'!D20</f>
        <v>700000</v>
      </c>
      <c r="D49" s="265">
        <f>'Summary by Class &amp; Accounts'!E20</f>
        <v>700000</v>
      </c>
      <c r="E49" s="266">
        <f>'Summary by Class &amp; Accounts'!F20</f>
        <v>0</v>
      </c>
    </row>
    <row r="50" spans="2:5" ht="12.75" x14ac:dyDescent="0.2">
      <c r="B50" s="263" t="str">
        <f>'Summary by Class &amp; Accounts'!B21</f>
        <v xml:space="preserve">Corporate Relations, Stakeholder Engagement and Innovation -  Government Affairs </v>
      </c>
      <c r="C50" s="264">
        <f>'Summary by Class &amp; Accounts'!D21</f>
        <v>650000</v>
      </c>
      <c r="D50" s="265">
        <f>'Summary by Class &amp; Accounts'!E21</f>
        <v>650000</v>
      </c>
      <c r="E50" s="266">
        <f>'Summary by Class &amp; Accounts'!F21</f>
        <v>0</v>
      </c>
    </row>
    <row r="51" spans="2:5" ht="25.5" x14ac:dyDescent="0.2">
      <c r="B51" s="263" t="str">
        <f>'Summary by Class &amp; Accounts'!B22</f>
        <v xml:space="preserve">Corporate Relations, Stakeholder Engagement and Innovation -  Corporate Communications </v>
      </c>
      <c r="C51" s="264">
        <f>'Summary by Class &amp; Accounts'!D22</f>
        <v>4150000.0000000005</v>
      </c>
      <c r="D51" s="265">
        <f>'Summary by Class &amp; Accounts'!E22</f>
        <v>4150000.0000000005</v>
      </c>
      <c r="E51" s="266">
        <f>'Summary by Class &amp; Accounts'!F22</f>
        <v>0</v>
      </c>
    </row>
    <row r="52" spans="2:5" ht="25.5" x14ac:dyDescent="0.2">
      <c r="B52" s="263" t="str">
        <f>'Summary by Class &amp; Accounts'!B23</f>
        <v xml:space="preserve">Corporate Relations, Stakeholder Engagement and Innovation -  Stakeholder and Community Engagement </v>
      </c>
      <c r="C52" s="264">
        <f>'Summary by Class &amp; Accounts'!D23</f>
        <v>6439999.9999999991</v>
      </c>
      <c r="D52" s="265">
        <f>'Summary by Class &amp; Accounts'!E23</f>
        <v>6439999.9999999991</v>
      </c>
      <c r="E52" s="266">
        <f>'Summary by Class &amp; Accounts'!F23</f>
        <v>0</v>
      </c>
    </row>
    <row r="53" spans="2:5" ht="25.5" x14ac:dyDescent="0.2">
      <c r="B53" s="263" t="str">
        <f>'Summary by Class &amp; Accounts'!B24</f>
        <v xml:space="preserve">Corporate Relations, Stakeholder Engagement and Innovation -  Innovation, Research &amp; Development </v>
      </c>
      <c r="C53" s="264">
        <f>'Summary by Class &amp; Accounts'!D24</f>
        <v>4720000</v>
      </c>
      <c r="D53" s="265">
        <f>'Summary by Class &amp; Accounts'!E24</f>
        <v>4720000</v>
      </c>
      <c r="E53" s="266">
        <f>'Summary by Class &amp; Accounts'!F24</f>
        <v>0</v>
      </c>
    </row>
    <row r="54" spans="2:5" ht="12.75" x14ac:dyDescent="0.2">
      <c r="B54" s="263" t="str">
        <f>'Summary by Class &amp; Accounts'!B30</f>
        <v xml:space="preserve">Legal Resources and Corporate Governance -  VP Office </v>
      </c>
      <c r="C54" s="264">
        <f>'Summary by Class &amp; Accounts'!D30</f>
        <v>1500000.0000000002</v>
      </c>
      <c r="D54" s="265">
        <f>'Summary by Class &amp; Accounts'!E30</f>
        <v>1403536.6319902418</v>
      </c>
      <c r="E54" s="266">
        <f>'Summary by Class &amp; Accounts'!F30</f>
        <v>96463.368009758575</v>
      </c>
    </row>
    <row r="55" spans="2:5" ht="12.75" x14ac:dyDescent="0.2">
      <c r="B55" s="263" t="str">
        <f>'Summary by Class &amp; Accounts'!B31</f>
        <v xml:space="preserve">Legal Resources and Corporate Governance -  General Counsel </v>
      </c>
      <c r="C55" s="264">
        <f>'Summary by Class &amp; Accounts'!D31</f>
        <v>11100000.000000004</v>
      </c>
      <c r="D55" s="265">
        <f>'Summary by Class &amp; Accounts'!E31</f>
        <v>10386171.076727791</v>
      </c>
      <c r="E55" s="266">
        <f>'Summary by Class &amp; Accounts'!F31</f>
        <v>713828.92327221355</v>
      </c>
    </row>
    <row r="56" spans="2:5" ht="12.75" x14ac:dyDescent="0.2">
      <c r="B56" s="263" t="str">
        <f>'Summary by Class &amp; Accounts'!B32</f>
        <v xml:space="preserve">Legal Resources and Corporate Governance -  Market Rules and Regulatory Affairs </v>
      </c>
      <c r="C56" s="264">
        <f>'Summary by Class &amp; Accounts'!D32</f>
        <v>2900000.0000000005</v>
      </c>
      <c r="D56" s="265">
        <f>'Summary by Class &amp; Accounts'!E32</f>
        <v>2713504.1551811341</v>
      </c>
      <c r="E56" s="266">
        <f>'Summary by Class &amp; Accounts'!F32</f>
        <v>186495.84481886658</v>
      </c>
    </row>
    <row r="57" spans="2:5" ht="12.75" x14ac:dyDescent="0.2">
      <c r="B57" s="263" t="str">
        <f>'Summary by Class &amp; Accounts'!B33</f>
        <v xml:space="preserve">Legal Resources and Corporate Governance -  OEB Assessment Fees </v>
      </c>
      <c r="C57" s="264">
        <f>'Summary by Class &amp; Accounts'!D33</f>
        <v>600000.00000000012</v>
      </c>
      <c r="D57" s="265">
        <f>'Summary by Class &amp; Accounts'!E33</f>
        <v>561414.65279609675</v>
      </c>
      <c r="E57" s="266">
        <f>'Summary by Class &amp; Accounts'!F33</f>
        <v>38585.347203903431</v>
      </c>
    </row>
    <row r="58" spans="2:5" ht="12.75" x14ac:dyDescent="0.2">
      <c r="B58" s="263" t="str">
        <f>'Summary by Class &amp; Accounts'!B34</f>
        <v xml:space="preserve">Legal Resources and Corporate Governance -  Board </v>
      </c>
      <c r="C58" s="264">
        <f>'Summary by Class &amp; Accounts'!D34</f>
        <v>800000.00000000023</v>
      </c>
      <c r="D58" s="265">
        <f>'Summary by Class &amp; Accounts'!E34</f>
        <v>748552.87039479567</v>
      </c>
      <c r="E58" s="266">
        <f>'Summary by Class &amp; Accounts'!F34</f>
        <v>51447.12960520458</v>
      </c>
    </row>
    <row r="59" spans="2:5" ht="12.75" x14ac:dyDescent="0.2">
      <c r="B59" s="263" t="str">
        <f>'Summary by Class &amp; Accounts'!B35</f>
        <v xml:space="preserve">Legal Resources and Corporate Governance -  NERC and NPCC Membership </v>
      </c>
      <c r="C59" s="264">
        <f>'Summary by Class &amp; Accounts'!D35</f>
        <v>5300000.0000000009</v>
      </c>
      <c r="D59" s="265">
        <f>'Summary by Class &amp; Accounts'!E35</f>
        <v>2650000.0000000005</v>
      </c>
      <c r="E59" s="266">
        <f>'Summary by Class &amp; Accounts'!F35</f>
        <v>2650000.0000000005</v>
      </c>
    </row>
    <row r="60" spans="2:5" ht="12.75" x14ac:dyDescent="0.2">
      <c r="B60" s="263" t="str">
        <f>'Summary by Class &amp; Accounts'!B36</f>
        <v xml:space="preserve">Legal Resources and Corporate Governance -  Contract Management </v>
      </c>
      <c r="C60" s="264">
        <f>'Summary by Class &amp; Accounts'!D36</f>
        <v>8740000.0000000019</v>
      </c>
      <c r="D60" s="265">
        <f>'Summary by Class &amp; Accounts'!E36</f>
        <v>8740000.0000000019</v>
      </c>
      <c r="E60" s="266">
        <f>'Summary by Class &amp; Accounts'!F36</f>
        <v>0</v>
      </c>
    </row>
    <row r="61" spans="2:5" ht="25.5" x14ac:dyDescent="0.2">
      <c r="B61" s="263" t="str">
        <f>'Summary by Class &amp; Accounts'!B37</f>
        <v xml:space="preserve">Market Assessment and Compliance Division -  Market Assessment and Compliance Division </v>
      </c>
      <c r="C61" s="264">
        <f>'Summary by Class &amp; Accounts'!D37</f>
        <v>1800000</v>
      </c>
      <c r="D61" s="265">
        <f>'Summary by Class &amp; Accounts'!E37</f>
        <v>1684243.9583882897</v>
      </c>
      <c r="E61" s="266">
        <f>'Summary by Class &amp; Accounts'!F37</f>
        <v>115756.04161171027</v>
      </c>
    </row>
    <row r="62" spans="2:5" ht="12.75" x14ac:dyDescent="0.2">
      <c r="B62" s="263" t="str">
        <f>'Summary by Class &amp; Accounts'!B38</f>
        <v xml:space="preserve">Market Assessment and Compliance Division - Regulatory Fees </v>
      </c>
      <c r="C62" s="264">
        <f>'Summary by Class &amp; Accounts'!D38</f>
        <v>700000</v>
      </c>
      <c r="D62" s="265">
        <f>'Summary by Class &amp; Accounts'!E38</f>
        <v>654983.76159544603</v>
      </c>
      <c r="E62" s="266">
        <f>'Summary by Class &amp; Accounts'!F38</f>
        <v>45016.238404553995</v>
      </c>
    </row>
    <row r="63" spans="2:5" ht="12.75" x14ac:dyDescent="0.2">
      <c r="B63" s="263" t="str">
        <f>'Summary by Class &amp; Accounts'!B43</f>
        <v>Corporate Services - Settlements</v>
      </c>
      <c r="C63" s="264">
        <f>'Summary by Class &amp; Accounts'!D43</f>
        <v>5900000</v>
      </c>
      <c r="D63" s="265">
        <f>'Summary by Class &amp; Accounts'!E43</f>
        <v>5520577.4191616168</v>
      </c>
      <c r="E63" s="266">
        <f>'Summary by Class &amp; Accounts'!F43</f>
        <v>379422.5808383837</v>
      </c>
    </row>
    <row r="64" spans="2:5" ht="13.5" thickBot="1" x14ac:dyDescent="0.25">
      <c r="B64" s="267" t="str">
        <f>'Summary by Class &amp; Accounts'!B48</f>
        <v>Market Renewal</v>
      </c>
      <c r="C64" s="268">
        <f>'Summary by Class &amp; Accounts'!D48</f>
        <v>4400000</v>
      </c>
      <c r="D64" s="269">
        <f>'Summary by Class &amp; Accounts'!E48</f>
        <v>4117040.787171375</v>
      </c>
      <c r="E64" s="270">
        <f>'Summary by Class &amp; Accounts'!F48</f>
        <v>282959.21282862511</v>
      </c>
    </row>
    <row r="65" spans="2:5" ht="13.5" thickBot="1" x14ac:dyDescent="0.25">
      <c r="B65" s="173"/>
      <c r="C65" s="177"/>
      <c r="D65" s="176"/>
      <c r="E65" s="176"/>
    </row>
    <row r="66" spans="2:5" ht="13.5" thickBot="1" x14ac:dyDescent="0.25">
      <c r="B66" s="271" t="s">
        <v>113</v>
      </c>
      <c r="C66" s="272">
        <f>SUM(C39:C64)</f>
        <v>128930000</v>
      </c>
      <c r="D66" s="273">
        <f>SUM(D39:D64)</f>
        <v>121778376.1595446</v>
      </c>
      <c r="E66" s="274">
        <f>SUM(E39:E64)</f>
        <v>7151623.8404554017</v>
      </c>
    </row>
  </sheetData>
  <mergeCells count="1">
    <mergeCell ref="C3:E3"/>
  </mergeCells>
  <pageMargins left="0.75" right="0.75" top="1" bottom="1" header="0.5" footer="0.5"/>
  <pageSetup scale="63" orientation="portrait" r:id="rId1"/>
  <headerFooter alignWithMargins="0">
    <oddHeader xml:space="preserve">&amp;CFiled: March 13, 2024
 EB-2024-0004
Clarification Questions
 APPrO
 Page 1 of 1
</oddHeader>
    <oddFooter>&amp;C&amp;"Arial,Italic"IESO 2025 Cost Allocation Model&amp;RPage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34"/>
  </sheetPr>
  <dimension ref="A1:F35"/>
  <sheetViews>
    <sheetView view="pageLayout" zoomScaleNormal="100" workbookViewId="0">
      <selection activeCell="H22" sqref="H22"/>
    </sheetView>
  </sheetViews>
  <sheetFormatPr defaultColWidth="7.5703125" defaultRowHeight="11.25" x14ac:dyDescent="0.2"/>
  <cols>
    <col min="1" max="1" width="69.28515625" style="54" customWidth="1"/>
    <col min="2" max="2" width="11.5703125" style="58" customWidth="1"/>
    <col min="3" max="3" width="10.7109375" style="113" customWidth="1"/>
    <col min="4" max="4" width="11.42578125" style="109" customWidth="1"/>
    <col min="5" max="5" width="7.42578125" style="109" bestFit="1" customWidth="1"/>
    <col min="6" max="16384" width="7.5703125" style="6"/>
  </cols>
  <sheetData>
    <row r="1" spans="1:5" s="1" customFormat="1" ht="21" customHeight="1" x14ac:dyDescent="0.3">
      <c r="A1" s="44" t="str">
        <f>"Allocator Worksheet "</f>
        <v xml:space="preserve">Allocator Worksheet </v>
      </c>
      <c r="B1" s="45"/>
      <c r="C1" s="47"/>
      <c r="D1" s="439" t="str">
        <f>"IESO "&amp;'Revenue to Cost|RR'!H22&amp;" Fee Model"</f>
        <v>IESO 2024 Fee Model</v>
      </c>
      <c r="E1" s="439"/>
    </row>
    <row r="2" spans="1:5" s="1" customFormat="1" ht="6" customHeight="1" x14ac:dyDescent="0.2">
      <c r="A2" s="2"/>
      <c r="B2" s="2"/>
      <c r="C2" s="69"/>
      <c r="D2" s="69"/>
      <c r="E2" s="2"/>
    </row>
    <row r="3" spans="1:5" ht="15" x14ac:dyDescent="0.2">
      <c r="A3" s="93"/>
      <c r="C3" s="111"/>
      <c r="D3" s="112"/>
      <c r="E3" s="112"/>
    </row>
    <row r="4" spans="1:5" x14ac:dyDescent="0.2">
      <c r="A4" s="57"/>
    </row>
    <row r="5" spans="1:5" ht="12.75" x14ac:dyDescent="0.2">
      <c r="A5" s="13"/>
      <c r="C5" s="114"/>
      <c r="D5" s="108"/>
      <c r="E5" s="108"/>
    </row>
    <row r="6" spans="1:5" x14ac:dyDescent="0.2">
      <c r="A6" s="6"/>
      <c r="D6" s="108"/>
      <c r="E6" s="108"/>
    </row>
    <row r="8" spans="1:5" s="46" customFormat="1" ht="13.5" thickBot="1" x14ac:dyDescent="0.25">
      <c r="A8" s="59"/>
      <c r="C8" s="123"/>
      <c r="D8" s="202">
        <v>1</v>
      </c>
      <c r="E8" s="202">
        <v>2</v>
      </c>
    </row>
    <row r="9" spans="1:5" s="110" customFormat="1" ht="25.5" x14ac:dyDescent="0.2">
      <c r="A9" s="203" t="s">
        <v>17</v>
      </c>
      <c r="B9" s="204" t="s">
        <v>16</v>
      </c>
      <c r="C9" s="205" t="s">
        <v>10</v>
      </c>
      <c r="D9" s="206" t="str">
        <f>'Revenue to Cost|RR'!D8</f>
        <v>Domestic</v>
      </c>
      <c r="E9" s="207" t="str">
        <f>'Revenue to Cost|RR'!E8</f>
        <v>Export</v>
      </c>
    </row>
    <row r="10" spans="1:5" x14ac:dyDescent="0.2">
      <c r="A10" s="208"/>
      <c r="E10" s="209"/>
    </row>
    <row r="11" spans="1:5" s="52" customFormat="1" ht="12.75" x14ac:dyDescent="0.2">
      <c r="A11" s="220" t="s">
        <v>40</v>
      </c>
      <c r="B11" s="78"/>
      <c r="C11" s="115"/>
      <c r="D11" s="116"/>
      <c r="E11" s="210"/>
    </row>
    <row r="12" spans="1:5" s="52" customFormat="1" ht="12.75" x14ac:dyDescent="0.2">
      <c r="A12" s="211"/>
      <c r="B12" s="125"/>
      <c r="C12" s="115"/>
      <c r="D12" s="116"/>
      <c r="E12" s="210"/>
    </row>
    <row r="13" spans="1:5" s="52" customFormat="1" ht="12.75" x14ac:dyDescent="0.2">
      <c r="A13" s="213" t="s">
        <v>74</v>
      </c>
      <c r="B13" s="125" t="s">
        <v>68</v>
      </c>
      <c r="C13" s="117">
        <f>IF(+SUM(D13:E13)=0,"-",+SUM(D13:E13))</f>
        <v>1</v>
      </c>
      <c r="D13" s="118">
        <f>'Energy Throughput'!D12/'Energy Throughput'!C12</f>
        <v>0.93569108799349432</v>
      </c>
      <c r="E13" s="212">
        <f>'Energy Throughput'!E12/'Energy Throughput'!C12</f>
        <v>6.4308912006505708E-2</v>
      </c>
    </row>
    <row r="14" spans="1:5" s="52" customFormat="1" ht="12.75" x14ac:dyDescent="0.2">
      <c r="A14" s="213" t="s">
        <v>75</v>
      </c>
      <c r="B14" s="125" t="s">
        <v>73</v>
      </c>
      <c r="C14" s="117">
        <f>IF(+SUM(D14:E14)=0,"-",+SUM(D14:E14))</f>
        <v>1</v>
      </c>
      <c r="D14" s="118">
        <f>'Energy Throughput'!D13/'Energy Throughput'!C13</f>
        <v>1</v>
      </c>
      <c r="E14" s="212">
        <f>'Energy Throughput'!E13/'Energy Throughput'!C13</f>
        <v>0</v>
      </c>
    </row>
    <row r="15" spans="1:5" s="52" customFormat="1" ht="12.75" x14ac:dyDescent="0.2">
      <c r="A15" s="211"/>
      <c r="B15" s="78"/>
      <c r="C15" s="119"/>
      <c r="D15" s="120"/>
      <c r="E15" s="214"/>
    </row>
    <row r="16" spans="1:5" s="52" customFormat="1" ht="12.75" x14ac:dyDescent="0.2">
      <c r="A16" s="215" t="s">
        <v>21</v>
      </c>
      <c r="B16" s="78"/>
      <c r="C16" s="117"/>
      <c r="D16" s="120"/>
      <c r="E16" s="214"/>
    </row>
    <row r="17" spans="1:6" s="52" customFormat="1" ht="12.75" x14ac:dyDescent="0.2">
      <c r="A17" s="211"/>
      <c r="B17" s="78"/>
      <c r="C17" s="117"/>
      <c r="D17" s="120"/>
      <c r="E17" s="214"/>
    </row>
    <row r="18" spans="1:6" s="53" customFormat="1" ht="12.75" x14ac:dyDescent="0.2">
      <c r="A18" s="216" t="s">
        <v>26</v>
      </c>
      <c r="B18" s="414"/>
      <c r="C18" s="121"/>
      <c r="D18" s="118"/>
      <c r="E18" s="212"/>
    </row>
    <row r="19" spans="1:6" s="53" customFormat="1" ht="12.75" x14ac:dyDescent="0.2">
      <c r="A19" s="217" t="s">
        <v>35</v>
      </c>
      <c r="B19" s="414" t="s">
        <v>34</v>
      </c>
      <c r="C19" s="121">
        <f>IF(+SUM(D19:E19)=0,"-",+SUM(D19:E19))</f>
        <v>1</v>
      </c>
      <c r="D19" s="118">
        <f>'Source Data for Allocators'!D13/'Source Data for Allocators'!$C13</f>
        <v>0.93569108799349432</v>
      </c>
      <c r="E19" s="212">
        <f>'Source Data for Allocators'!E13/'Source Data for Allocators'!$C13</f>
        <v>6.4308912006505695E-2</v>
      </c>
    </row>
    <row r="20" spans="1:6" s="53" customFormat="1" ht="12.75" x14ac:dyDescent="0.2">
      <c r="A20" s="218" t="s">
        <v>25</v>
      </c>
      <c r="B20" s="414" t="s">
        <v>23</v>
      </c>
      <c r="C20" s="121">
        <f>IF(+SUM(D20:E20)=0,"-",+SUM(D20:E20))</f>
        <v>1</v>
      </c>
      <c r="D20" s="118">
        <f>'Source Data for Allocators'!D24/'Source Data for Allocators'!$C24</f>
        <v>0.93569108799349432</v>
      </c>
      <c r="E20" s="212">
        <f>'Source Data for Allocators'!E24/'Source Data for Allocators'!$C24</f>
        <v>6.4308912006505681E-2</v>
      </c>
    </row>
    <row r="21" spans="1:6" s="53" customFormat="1" ht="12.75" x14ac:dyDescent="0.2">
      <c r="A21" s="217" t="s">
        <v>114</v>
      </c>
      <c r="B21" s="414" t="s">
        <v>112</v>
      </c>
      <c r="C21" s="121">
        <f>IF(+SUM(D21:E21)=0,"-",+SUM(D21:E21))</f>
        <v>1</v>
      </c>
      <c r="D21" s="118">
        <f>'Source Data for Allocators'!D66/'Source Data for Allocators'!$C66</f>
        <v>0.94453095601911585</v>
      </c>
      <c r="E21" s="212">
        <f>'Source Data for Allocators'!E66/'Source Data for Allocators'!$C66</f>
        <v>5.5469043980884217E-2</v>
      </c>
    </row>
    <row r="22" spans="1:6" s="52" customFormat="1" ht="15" customHeight="1" x14ac:dyDescent="0.2">
      <c r="A22" s="211"/>
      <c r="B22" s="125"/>
      <c r="C22" s="148"/>
      <c r="D22" s="149"/>
      <c r="E22" s="219"/>
      <c r="F22" s="149"/>
    </row>
    <row r="23" spans="1:6" s="52" customFormat="1" ht="15" customHeight="1" x14ac:dyDescent="0.2">
      <c r="A23" s="213" t="s">
        <v>33</v>
      </c>
      <c r="B23" s="125" t="s">
        <v>29</v>
      </c>
      <c r="C23" s="121">
        <f>IF(+SUM(D23:E23)=0,"-",+SUM(D23:E23))</f>
        <v>1</v>
      </c>
      <c r="D23" s="242">
        <v>1</v>
      </c>
      <c r="E23" s="243">
        <v>0</v>
      </c>
    </row>
    <row r="24" spans="1:6" s="52" customFormat="1" ht="15" customHeight="1" x14ac:dyDescent="0.2">
      <c r="A24" s="213" t="s">
        <v>41</v>
      </c>
      <c r="B24" s="125" t="s">
        <v>76</v>
      </c>
      <c r="C24" s="121">
        <f>IF(+SUM(D24:E24)=0,"-",+SUM(D24:E24))</f>
        <v>1</v>
      </c>
      <c r="D24" s="242">
        <v>0</v>
      </c>
      <c r="E24" s="243">
        <v>1</v>
      </c>
    </row>
    <row r="25" spans="1:6" s="52" customFormat="1" ht="15" customHeight="1" x14ac:dyDescent="0.2">
      <c r="A25" s="213" t="s">
        <v>70</v>
      </c>
      <c r="B25" s="125" t="s">
        <v>69</v>
      </c>
      <c r="C25" s="241">
        <f>IF(+SUM(D25:E25)=0,"-",+SUM(D25:E25))</f>
        <v>1</v>
      </c>
      <c r="D25" s="244">
        <v>0.5</v>
      </c>
      <c r="E25" s="245">
        <v>0.5</v>
      </c>
    </row>
    <row r="26" spans="1:6" s="52" customFormat="1" ht="15" customHeight="1" x14ac:dyDescent="0.2">
      <c r="A26" s="211"/>
      <c r="B26" s="78"/>
      <c r="C26" s="119"/>
      <c r="D26" s="122"/>
      <c r="E26" s="237"/>
    </row>
    <row r="27" spans="1:6" s="52" customFormat="1" ht="15" customHeight="1" x14ac:dyDescent="0.2">
      <c r="A27" s="213" t="s">
        <v>177</v>
      </c>
      <c r="B27" s="78" t="s">
        <v>169</v>
      </c>
      <c r="C27" s="241">
        <f t="shared" ref="C27:C29" si="0">IF(+SUM(D27:E27)=0,"-",+SUM(D27:E27))</f>
        <v>1.0000000000000002</v>
      </c>
      <c r="D27" s="244">
        <f>SUM('Summary by Class &amp; Accounts'!E11:E14)/SUM('Summary by Class &amp; Accounts'!$D11:$D14)</f>
        <v>0.93569108799349443</v>
      </c>
      <c r="E27" s="245">
        <f>SUM('Summary by Class &amp; Accounts'!F11:F14)/SUM('Summary by Class &amp; Accounts'!$D11:$D14)</f>
        <v>6.4308912006505708E-2</v>
      </c>
    </row>
    <row r="28" spans="1:6" s="52" customFormat="1" ht="15" customHeight="1" x14ac:dyDescent="0.2">
      <c r="A28" s="213" t="s">
        <v>176</v>
      </c>
      <c r="B28" s="78" t="s">
        <v>170</v>
      </c>
      <c r="C28" s="241">
        <f t="shared" si="0"/>
        <v>1</v>
      </c>
      <c r="D28" s="244">
        <f>SUM('Summary by Class &amp; Accounts'!E16:E19)/SUM('Summary by Class &amp; Accounts'!$D16:$D19)</f>
        <v>1</v>
      </c>
      <c r="E28" s="245">
        <f>SUM('Summary by Class &amp; Accounts'!F16:F19)/SUM('Summary by Class &amp; Accounts'!$D16:$D19)</f>
        <v>0</v>
      </c>
    </row>
    <row r="29" spans="1:6" s="52" customFormat="1" ht="15" customHeight="1" x14ac:dyDescent="0.2">
      <c r="A29" s="213" t="s">
        <v>178</v>
      </c>
      <c r="B29" s="78" t="s">
        <v>171</v>
      </c>
      <c r="C29" s="241">
        <f t="shared" si="0"/>
        <v>1</v>
      </c>
      <c r="D29" s="244">
        <f>SUM('Summary by Class &amp; Accounts'!E21:E24)/SUM('Summary by Class &amp; Accounts'!$D21:$D24)</f>
        <v>1</v>
      </c>
      <c r="E29" s="245">
        <f>SUM('Summary by Class &amp; Accounts'!F21:F24)/SUM('Summary by Class &amp; Accounts'!$D21:$D24)</f>
        <v>0</v>
      </c>
    </row>
    <row r="30" spans="1:6" s="52" customFormat="1" ht="15" customHeight="1" x14ac:dyDescent="0.2">
      <c r="A30" s="211" t="s">
        <v>65</v>
      </c>
      <c r="B30" s="78" t="s">
        <v>67</v>
      </c>
      <c r="C30" s="121">
        <f>IF(+SUM(D30:E30)=0,"-",+SUM(D30:E30))</f>
        <v>1</v>
      </c>
      <c r="D30" s="246">
        <f>SUM('Summary by Class &amp; Accounts'!E26:E29)/SUM('Summary by Class &amp; Accounts'!$D26:$D29)</f>
        <v>0.94453095601911585</v>
      </c>
      <c r="E30" s="323">
        <f>SUM('Summary by Class &amp; Accounts'!F26:F29)/SUM('Summary by Class &amp; Accounts'!$D26:$D29)</f>
        <v>5.5469043980884224E-2</v>
      </c>
    </row>
    <row r="31" spans="1:6" s="52" customFormat="1" ht="15" customHeight="1" x14ac:dyDescent="0.2">
      <c r="A31" s="211" t="s">
        <v>104</v>
      </c>
      <c r="B31" s="78" t="s">
        <v>105</v>
      </c>
      <c r="C31" s="121">
        <f>IF(+SUM(D31:E31)=0,"-",+SUM(D31:E31))</f>
        <v>1.0000000000000002</v>
      </c>
      <c r="D31" s="246">
        <f>SUM('Summary by Class &amp; Accounts'!E31:E34,E36)/SUM('Summary by Class &amp; Accounts'!$D31:$D34,$D36)</f>
        <v>0.93569108799349443</v>
      </c>
      <c r="E31" s="323">
        <f>SUM('Summary by Class &amp; Accounts'!F31:F34,F36)/SUM('Summary by Class &amp; Accounts'!$D31:$D34,$D36)</f>
        <v>6.4308912006505708E-2</v>
      </c>
    </row>
    <row r="32" spans="1:6" s="52" customFormat="1" ht="15" customHeight="1" x14ac:dyDescent="0.2">
      <c r="A32" s="211" t="s">
        <v>66</v>
      </c>
      <c r="B32" s="78" t="s">
        <v>63</v>
      </c>
      <c r="C32" s="121">
        <f>IF(+SUM(D32:E32)=0,"-",+SUM(D32:E32))</f>
        <v>1.0000000000000002</v>
      </c>
      <c r="D32" s="246">
        <f>SUM('Summary by Class &amp; Accounts'!E40:E45)/SUM('Summary by Class &amp; Accounts'!$D40:$D45)</f>
        <v>0.94276895529779281</v>
      </c>
      <c r="E32" s="323">
        <f>SUM('Summary by Class &amp; Accounts'!F40:F45)/SUM('Summary by Class &amp; Accounts'!$D40:$D45)</f>
        <v>5.7231044702207419E-2</v>
      </c>
    </row>
    <row r="33" spans="1:5" s="52" customFormat="1" ht="15" customHeight="1" thickBot="1" x14ac:dyDescent="0.25">
      <c r="A33" s="238"/>
      <c r="B33" s="239"/>
      <c r="C33" s="240"/>
      <c r="D33" s="247"/>
      <c r="E33" s="248"/>
    </row>
    <row r="34" spans="1:5" s="52" customFormat="1" ht="15" customHeight="1" x14ac:dyDescent="0.2">
      <c r="A34" s="56"/>
      <c r="B34" s="78"/>
      <c r="C34" s="119"/>
      <c r="D34" s="122"/>
      <c r="E34" s="122"/>
    </row>
    <row r="35" spans="1:5" s="52" customFormat="1" ht="15" customHeight="1" x14ac:dyDescent="0.2">
      <c r="A35" s="56"/>
      <c r="B35" s="78"/>
      <c r="C35" s="119"/>
      <c r="D35" s="122"/>
      <c r="E35" s="122"/>
    </row>
  </sheetData>
  <phoneticPr fontId="0" type="noConversion"/>
  <pageMargins left="0.75" right="0.75" top="1" bottom="1" header="0.5" footer="0.5"/>
  <pageSetup scale="63" orientation="portrait" r:id="rId1"/>
  <headerFooter alignWithMargins="0">
    <oddHeader xml:space="preserve">&amp;RFiled: March 13, 2024
 EB-2024-0004
Clarification Questions
 APPrO
 Page 1 of 1
</oddHeader>
    <oddFooter>&amp;C&amp;"Arial,Italic"IESO 2025 Cost Allocation Model&amp;RPage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Cover Page</vt:lpstr>
      <vt:lpstr>Functionalized Accounts</vt:lpstr>
      <vt:lpstr>Assets</vt:lpstr>
      <vt:lpstr>Revenue</vt:lpstr>
      <vt:lpstr>Energy Throughput</vt:lpstr>
      <vt:lpstr>Revenue to Cost|RR</vt:lpstr>
      <vt:lpstr>Summary by Class &amp; Accounts</vt:lpstr>
      <vt:lpstr>Source Data for Allocators</vt:lpstr>
      <vt:lpstr>Allocators</vt:lpstr>
      <vt:lpstr>TB Allocation Details</vt:lpstr>
      <vt:lpstr>Reconciliation</vt:lpstr>
      <vt:lpstr>Summary</vt:lpstr>
      <vt:lpstr>Allocators!Print_Area</vt:lpstr>
      <vt:lpstr>Assets!Print_Area</vt:lpstr>
      <vt:lpstr>'Cover Page'!Print_Area</vt:lpstr>
      <vt:lpstr>'Energy Throughput'!Print_Area</vt:lpstr>
      <vt:lpstr>'Functionalized Accounts'!Print_Area</vt:lpstr>
      <vt:lpstr>Reconciliation!Print_Area</vt:lpstr>
      <vt:lpstr>Revenue!Print_Area</vt:lpstr>
      <vt:lpstr>'Revenue to Cost|RR'!Print_Area</vt:lpstr>
      <vt:lpstr>'Source Data for Allocators'!Print_Area</vt:lpstr>
      <vt:lpstr>'Summary by Class &amp; Accounts'!Print_Area</vt:lpstr>
      <vt:lpstr>'TB Allocation Details'!Print_Area</vt:lpstr>
      <vt:lpstr>Assets!Print_Titles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AbramoMa</dc:creator>
  <cp:lastModifiedBy>Author </cp:lastModifiedBy>
  <cp:lastPrinted>2024-02-27T00:18:09Z</cp:lastPrinted>
  <dcterms:created xsi:type="dcterms:W3CDTF">2005-08-12T15:39:31Z</dcterms:created>
  <dcterms:modified xsi:type="dcterms:W3CDTF">2024-03-14T17:40:13Z</dcterms:modified>
</cp:coreProperties>
</file>