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8" documentId="8_{844084C6-5C75-4631-8CCE-FC24473B703D}" xr6:coauthVersionLast="47" xr6:coauthVersionMax="47" xr10:uidLastSave="{32A5022D-62B9-43D5-8C0E-ABF464DB0D05}"/>
  <bookViews>
    <workbookView xWindow="-120" yWindow="-120" windowWidth="29040" windowHeight="15840" tabRatio="863" firstSheet="7" activeTab="12" xr2:uid="{91E87535-C2E5-467B-816D-DBEDAA61D195}"/>
  </bookViews>
  <sheets>
    <sheet name="Impact Statement" sheetId="3" r:id="rId1"/>
    <sheet name="Working Cash" sheetId="5" r:id="rId2"/>
    <sheet name="2024 Rate Base" sheetId="2" r:id="rId3"/>
    <sheet name="Gas in Storage" sheetId="32" r:id="rId4"/>
    <sheet name="2024 Capital Expenditures" sheetId="30" r:id="rId5"/>
    <sheet name="2024 Depreciation Expense" sheetId="31" r:id="rId6"/>
    <sheet name="Utility Income" sheetId="15" r:id="rId7"/>
    <sheet name="Income Taxes" sheetId="18" r:id="rId8"/>
    <sheet name="Capital Structure Capital Updat" sheetId="14" r:id="rId9"/>
    <sheet name="Capital Structure Settlement Ag" sheetId="28" r:id="rId10"/>
    <sheet name="Capital Structure OEB Decision" sheetId="29" r:id="rId11"/>
    <sheet name="RR and Deficiency" sheetId="13" r:id="rId12"/>
    <sheet name="RR and Deficiency Delivery" sheetId="23" r:id="rId13"/>
    <sheet name="RR and Deficiency Gas Supply" sheetId="24" r:id="rId14"/>
    <sheet name="NGV Forecast" sheetId="36" r:id="rId15"/>
  </sheets>
  <definedNames>
    <definedName name="_xlnm.Print_Area" localSheetId="3">'Gas in Storage'!$A$1:$G$28</definedName>
    <definedName name="_xlnm.Print_Area" localSheetId="14">'NGV Forecast'!$A$1:$F$35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8" l="1"/>
  <c r="G35" i="15"/>
  <c r="G37" i="15"/>
  <c r="I17" i="2"/>
  <c r="F77" i="3"/>
  <c r="F89" i="3" s="1"/>
  <c r="E31" i="29" l="1"/>
  <c r="I34" i="23"/>
  <c r="I41" i="23"/>
  <c r="I40" i="23"/>
  <c r="K35" i="23"/>
  <c r="G41" i="13"/>
  <c r="K41" i="23" s="1"/>
  <c r="G40" i="13"/>
  <c r="K40" i="23" s="1"/>
  <c r="G34" i="13"/>
  <c r="K34" i="23" s="1"/>
  <c r="K36" i="23" s="1"/>
  <c r="G36" i="18"/>
  <c r="G46" i="18" s="1"/>
  <c r="I35" i="15" s="1"/>
  <c r="F13" i="18"/>
  <c r="I20" i="23"/>
  <c r="I24" i="23" s="1"/>
  <c r="G25" i="15"/>
  <c r="H17" i="2"/>
  <c r="F17" i="2"/>
  <c r="H18" i="24"/>
  <c r="G36" i="13" l="1"/>
  <c r="I36" i="13" s="1"/>
  <c r="G24" i="15"/>
  <c r="J41" i="23" l="1"/>
  <c r="J40" i="23"/>
  <c r="I50" i="23"/>
  <c r="G40" i="23"/>
  <c r="K42" i="23"/>
  <c r="A69" i="3" l="1"/>
  <c r="A70" i="3" s="1"/>
  <c r="A71" i="3" s="1"/>
  <c r="E77" i="3"/>
  <c r="E89" i="3" s="1"/>
  <c r="F25" i="15"/>
  <c r="A72" i="3" l="1"/>
  <c r="A73" i="3" s="1"/>
  <c r="A74" i="3" s="1"/>
  <c r="A75" i="3" s="1"/>
  <c r="A77" i="3" s="1"/>
  <c r="A81" i="3" s="1"/>
  <c r="A82" i="3" s="1"/>
  <c r="A83" i="3" s="1"/>
  <c r="A84" i="3" s="1"/>
  <c r="A85" i="3" s="1"/>
  <c r="A86" i="3" s="1"/>
  <c r="A87" i="3" s="1"/>
  <c r="A89" i="3" s="1"/>
  <c r="H49" i="23"/>
  <c r="H41" i="23"/>
  <c r="H34" i="23"/>
  <c r="H35" i="23"/>
  <c r="H30" i="23"/>
  <c r="H19" i="23"/>
  <c r="H21" i="23"/>
  <c r="H22" i="23"/>
  <c r="H23" i="23"/>
  <c r="H15" i="23"/>
  <c r="H13" i="23"/>
  <c r="H50" i="23"/>
  <c r="G14" i="15" l="1"/>
  <c r="H20" i="23"/>
  <c r="I21" i="24" l="1"/>
  <c r="H19" i="24"/>
  <c r="H13" i="24"/>
  <c r="H21" i="24" l="1"/>
  <c r="I35" i="13"/>
  <c r="F17" i="3"/>
  <c r="F31" i="3"/>
  <c r="E29" i="28"/>
  <c r="G20" i="15"/>
  <c r="G31" i="15"/>
  <c r="I42" i="23"/>
  <c r="H28" i="15"/>
  <c r="F26" i="15"/>
  <c r="F27" i="15"/>
  <c r="F28" i="15"/>
  <c r="F29" i="15"/>
  <c r="F24" i="15"/>
  <c r="F35" i="15"/>
  <c r="H35" i="15"/>
  <c r="H15" i="15"/>
  <c r="F14" i="15"/>
  <c r="F15" i="15"/>
  <c r="F16" i="15"/>
  <c r="F13" i="15"/>
  <c r="F23" i="3"/>
  <c r="F21" i="3"/>
  <c r="E17" i="2"/>
  <c r="H40" i="23"/>
  <c r="H19" i="5"/>
  <c r="I19" i="5" s="1"/>
  <c r="F31" i="18"/>
  <c r="E31" i="18"/>
  <c r="F22" i="18"/>
  <c r="F33" i="18" s="1"/>
  <c r="E22" i="18"/>
  <c r="E33" i="18" s="1"/>
  <c r="F27" i="32"/>
  <c r="G23" i="13"/>
  <c r="G20" i="13"/>
  <c r="G21" i="13"/>
  <c r="H20" i="5"/>
  <c r="I29" i="15"/>
  <c r="I27" i="15"/>
  <c r="H27" i="15" s="1"/>
  <c r="I26" i="15"/>
  <c r="I25" i="15"/>
  <c r="K30" i="23"/>
  <c r="J23" i="23"/>
  <c r="J21" i="23"/>
  <c r="J22" i="23"/>
  <c r="J20" i="23"/>
  <c r="H16" i="2"/>
  <c r="H15" i="2"/>
  <c r="K50" i="23"/>
  <c r="J50" i="23" s="1"/>
  <c r="K49" i="23"/>
  <c r="J49" i="23" s="1"/>
  <c r="F25" i="3" l="1"/>
  <c r="G33" i="15"/>
  <c r="E26" i="28" s="1"/>
  <c r="E27" i="28" s="1"/>
  <c r="H26" i="15"/>
  <c r="G42" i="23"/>
  <c r="H42" i="23"/>
  <c r="F20" i="15"/>
  <c r="F19" i="3"/>
  <c r="H18" i="5"/>
  <c r="I18" i="5" s="1"/>
  <c r="H29" i="15"/>
  <c r="H17" i="5"/>
  <c r="I17" i="5" s="1"/>
  <c r="H25" i="15"/>
  <c r="F31" i="15"/>
  <c r="H19" i="13"/>
  <c r="J19" i="23"/>
  <c r="J19" i="24"/>
  <c r="J13" i="24"/>
  <c r="F17" i="29"/>
  <c r="H17" i="29" s="1"/>
  <c r="F16" i="29"/>
  <c r="I22" i="2"/>
  <c r="I23" i="2"/>
  <c r="I24" i="2"/>
  <c r="I25" i="2"/>
  <c r="I26" i="2"/>
  <c r="I21" i="2"/>
  <c r="F16" i="2"/>
  <c r="I20" i="5"/>
  <c r="G19" i="5"/>
  <c r="G17" i="5"/>
  <c r="G18" i="5"/>
  <c r="G20" i="5"/>
  <c r="G16" i="5"/>
  <c r="F29" i="2"/>
  <c r="F15" i="2"/>
  <c r="E29" i="2"/>
  <c r="E31" i="2" s="1"/>
  <c r="E23" i="14" s="1"/>
  <c r="G29" i="2"/>
  <c r="G31" i="2" s="1"/>
  <c r="G17" i="2"/>
  <c r="F31" i="2" s="1"/>
  <c r="G36" i="23"/>
  <c r="E33" i="28"/>
  <c r="E39" i="29"/>
  <c r="H21" i="29"/>
  <c r="E39" i="28"/>
  <c r="H21" i="28"/>
  <c r="F19" i="28"/>
  <c r="F23" i="28" s="1"/>
  <c r="E19" i="28"/>
  <c r="E23" i="28" s="1"/>
  <c r="H17" i="28"/>
  <c r="H16" i="28"/>
  <c r="H19" i="28" s="1"/>
  <c r="K21" i="24"/>
  <c r="G21" i="24"/>
  <c r="G17" i="24"/>
  <c r="H17" i="24" s="1"/>
  <c r="K52" i="23"/>
  <c r="J52" i="23"/>
  <c r="I52" i="23"/>
  <c r="G52" i="23"/>
  <c r="J42" i="23"/>
  <c r="J36" i="23"/>
  <c r="I36" i="23"/>
  <c r="K24" i="23"/>
  <c r="K44" i="23" s="1"/>
  <c r="K54" i="23" s="1"/>
  <c r="J24" i="23"/>
  <c r="G24" i="23"/>
  <c r="J44" i="23" l="1"/>
  <c r="F19" i="29"/>
  <c r="F23" i="29" s="1"/>
  <c r="H36" i="23"/>
  <c r="I44" i="23"/>
  <c r="E25" i="14"/>
  <c r="F17" i="14"/>
  <c r="F33" i="15"/>
  <c r="F37" i="15"/>
  <c r="H24" i="23"/>
  <c r="H52" i="23"/>
  <c r="H16" i="29"/>
  <c r="H19" i="29" s="1"/>
  <c r="H23" i="29" s="1"/>
  <c r="H23" i="28"/>
  <c r="J21" i="24"/>
  <c r="J54" i="23"/>
  <c r="G44" i="23"/>
  <c r="G54" i="23" s="1"/>
  <c r="I54" i="23"/>
  <c r="H54" i="23" l="1"/>
  <c r="H44" i="23"/>
  <c r="E39" i="14"/>
  <c r="H21" i="14"/>
  <c r="E19" i="14"/>
  <c r="H52" i="13"/>
  <c r="G52" i="13"/>
  <c r="I50" i="13"/>
  <c r="I14" i="15" s="1"/>
  <c r="I49" i="13"/>
  <c r="G42" i="13"/>
  <c r="I28" i="13"/>
  <c r="I30" i="13" s="1"/>
  <c r="I16" i="15" s="1"/>
  <c r="H24" i="13"/>
  <c r="G24" i="13"/>
  <c r="I23" i="13"/>
  <c r="I22" i="13"/>
  <c r="I21" i="13"/>
  <c r="I20" i="13"/>
  <c r="I19" i="13"/>
  <c r="I24" i="15" s="1"/>
  <c r="I15" i="13"/>
  <c r="I14" i="13"/>
  <c r="I13" i="13"/>
  <c r="H24" i="15" l="1"/>
  <c r="I52" i="13"/>
  <c r="I13" i="15"/>
  <c r="H16" i="15"/>
  <c r="H14" i="15"/>
  <c r="H17" i="14"/>
  <c r="F16" i="14"/>
  <c r="H16" i="5"/>
  <c r="I16" i="5" s="1"/>
  <c r="I31" i="15"/>
  <c r="I24" i="13"/>
  <c r="H13" i="15" l="1"/>
  <c r="I20" i="15"/>
  <c r="H20" i="15" s="1"/>
  <c r="H31" i="15"/>
  <c r="F19" i="14"/>
  <c r="F23" i="14" s="1"/>
  <c r="H16" i="14"/>
  <c r="H19" i="14" s="1"/>
  <c r="H23" i="14" s="1"/>
  <c r="I21" i="5"/>
  <c r="I27" i="5" s="1"/>
  <c r="H21" i="5"/>
  <c r="I25" i="5"/>
  <c r="I23" i="5"/>
  <c r="A17" i="5"/>
  <c r="A18" i="5" s="1"/>
  <c r="A19" i="5" s="1"/>
  <c r="A20" i="5" s="1"/>
  <c r="A23" i="5" s="1"/>
  <c r="A25" i="5" s="1"/>
  <c r="A27" i="5" s="1"/>
  <c r="I27" i="2" l="1"/>
  <c r="H27" i="2" s="1"/>
  <c r="H29" i="2" s="1"/>
  <c r="H31" i="2" s="1"/>
  <c r="I33" i="15"/>
  <c r="I37" i="15" s="1"/>
  <c r="E26" i="29" s="1"/>
  <c r="I29" i="2" l="1"/>
  <c r="H33" i="15"/>
  <c r="H37" i="15"/>
  <c r="F15" i="3"/>
  <c r="I31" i="2" l="1"/>
  <c r="F13" i="3" s="1"/>
  <c r="E40" i="18" l="1"/>
  <c r="E23" i="29"/>
  <c r="H42" i="13"/>
  <c r="I42" i="13" s="1"/>
  <c r="H36" i="13"/>
  <c r="E25" i="29" l="1"/>
  <c r="E16" i="29"/>
  <c r="E17" i="29"/>
  <c r="E21" i="29"/>
  <c r="G44" i="13"/>
  <c r="G54" i="13" s="1"/>
  <c r="H44" i="13"/>
  <c r="H54" i="13" s="1"/>
  <c r="E19" i="29" l="1"/>
  <c r="E27" i="29"/>
  <c r="E29" i="29"/>
  <c r="I44" i="13"/>
  <c r="E30" i="29" l="1"/>
  <c r="F27" i="3"/>
  <c r="E32" i="29"/>
  <c r="I54" i="13"/>
  <c r="F33" i="3" l="1"/>
  <c r="E33" i="29"/>
  <c r="F35" i="3" s="1"/>
  <c r="F29" i="3" s="1"/>
</calcChain>
</file>

<file path=xl/sharedStrings.xml><?xml version="1.0" encoding="utf-8"?>
<sst xmlns="http://schemas.openxmlformats.org/spreadsheetml/2006/main" count="696" uniqueCount="338">
  <si>
    <t>OEB Decision</t>
  </si>
  <si>
    <t>Utility Financial Summary - EGI (1)</t>
  </si>
  <si>
    <t>2024 Test Year</t>
  </si>
  <si>
    <t>Line No.</t>
  </si>
  <si>
    <t>Particulars ($ millions)</t>
  </si>
  <si>
    <t>Reference</t>
  </si>
  <si>
    <t>(a)</t>
  </si>
  <si>
    <t>(b)</t>
  </si>
  <si>
    <t>Utility rate base</t>
  </si>
  <si>
    <t>Schedule 2</t>
  </si>
  <si>
    <t>Utility income</t>
  </si>
  <si>
    <t>Schedule 7</t>
  </si>
  <si>
    <t>Capital expenditures</t>
  </si>
  <si>
    <t>Schedule 5</t>
  </si>
  <si>
    <t>Depreciation expense</t>
  </si>
  <si>
    <t>Schedule 6</t>
  </si>
  <si>
    <t>Indicated rate of return</t>
  </si>
  <si>
    <t>Schedule 11</t>
  </si>
  <si>
    <t>Allowed rate of return</t>
  </si>
  <si>
    <t>(Deficiency) in Common Equity Return</t>
  </si>
  <si>
    <t>Net (Deficiency)</t>
  </si>
  <si>
    <t>Schedule 12</t>
  </si>
  <si>
    <t>Gross (Deficiency)</t>
  </si>
  <si>
    <t>Revenue at existing rates</t>
  </si>
  <si>
    <t>Revenue requirement</t>
  </si>
  <si>
    <t>Gross revenue (Deficiency)</t>
  </si>
  <si>
    <t>Notes:</t>
  </si>
  <si>
    <t>(1)</t>
  </si>
  <si>
    <t>Includes the impact of the Settlement Agreement and the OEB Decision.</t>
  </si>
  <si>
    <t>Financial Impacts</t>
  </si>
  <si>
    <t>Rate Base</t>
  </si>
  <si>
    <t>Revenue Deficiency</t>
  </si>
  <si>
    <t>Settlement (1)</t>
  </si>
  <si>
    <t>Additional Settlement Adjustments</t>
  </si>
  <si>
    <t>Unregulated O&amp;M Cost Allocation</t>
  </si>
  <si>
    <t>Gas Sales and Distribution Revenue (2)</t>
  </si>
  <si>
    <t>Gas Costs (2)</t>
  </si>
  <si>
    <t>Gas Supply Deficiency (3)</t>
  </si>
  <si>
    <t>Gas Costs - PDCI (4)</t>
  </si>
  <si>
    <t>Consolidated Billing Adjustment (4)</t>
  </si>
  <si>
    <t>Non-utility Cross Charge (5)</t>
  </si>
  <si>
    <t>Post Settlement</t>
  </si>
  <si>
    <t>Phase 1 Decision Impacts:</t>
  </si>
  <si>
    <t>Update to Board Approved ROE 9.21%</t>
  </si>
  <si>
    <t>Integration Write-off</t>
  </si>
  <si>
    <t>Reduction to CAPEX ($250M)</t>
  </si>
  <si>
    <t>Reduction to OH Capitalization ($50M)</t>
  </si>
  <si>
    <t>Adjust Depreciation</t>
  </si>
  <si>
    <t>Remove Site Restoration</t>
  </si>
  <si>
    <t>Adjustment to Working Cash Allowance</t>
  </si>
  <si>
    <t>DRO</t>
  </si>
  <si>
    <t>(2)</t>
  </si>
  <si>
    <t>(3)</t>
  </si>
  <si>
    <t>(4)</t>
  </si>
  <si>
    <t>(5)</t>
  </si>
  <si>
    <t>Working Cash Allowance - EGI</t>
  </si>
  <si>
    <t>Net</t>
  </si>
  <si>
    <t>Revenue Lag Days</t>
  </si>
  <si>
    <t>Expense Lead Days</t>
  </si>
  <si>
    <t>Lag Days</t>
  </si>
  <si>
    <t>Expenses</t>
  </si>
  <si>
    <t>Allowance</t>
  </si>
  <si>
    <t>(c)=(a-b)</t>
  </si>
  <si>
    <t>(d)</t>
  </si>
  <si>
    <t>(e)=(d x c)/365</t>
  </si>
  <si>
    <t>Cost of Gas</t>
  </si>
  <si>
    <t>Operations and Maintenance (O&amp;M) Costs</t>
  </si>
  <si>
    <t>Property Tax Expense</t>
  </si>
  <si>
    <t>Interest Expense</t>
  </si>
  <si>
    <t>Income Tax Expense</t>
  </si>
  <si>
    <t>Harmonized Sales Tax (on Cost of Gas and O&amp;M)</t>
  </si>
  <si>
    <t>Federal Carbon - Customer Levy</t>
  </si>
  <si>
    <t>Total Working Cash Allowance</t>
  </si>
  <si>
    <t>Utility Rate Base - EGI</t>
  </si>
  <si>
    <t>Capital Update</t>
  </si>
  <si>
    <t>Settlement Agreement Adjustments</t>
  </si>
  <si>
    <t>Per Settlement Agreement</t>
  </si>
  <si>
    <t>OEB Phase 1 Decision Adjustments</t>
  </si>
  <si>
    <t>Per OEB Phase 1 Decision</t>
  </si>
  <si>
    <t>(c)=(a+b)</t>
  </si>
  <si>
    <t>(e)=(c+d)</t>
  </si>
  <si>
    <t>Property, Plant and Equipment</t>
  </si>
  <si>
    <t>Gross Property, Plant and Equipment</t>
  </si>
  <si>
    <t>Accumulated Depreciation</t>
  </si>
  <si>
    <t>Net Property, Plant and Equipment</t>
  </si>
  <si>
    <t>Allowance for Working Capital</t>
  </si>
  <si>
    <t>Materials and Supplies</t>
  </si>
  <si>
    <t>DCB Receivable (payable)</t>
  </si>
  <si>
    <t>Customer Security Deposits</t>
  </si>
  <si>
    <t>Prepaid Expenses</t>
  </si>
  <si>
    <t>Balancing Gas</t>
  </si>
  <si>
    <t>Gas in Storage</t>
  </si>
  <si>
    <t>Working Cash Allowance</t>
  </si>
  <si>
    <t>Total Working Capital</t>
  </si>
  <si>
    <t>Utility Rate Base</t>
  </si>
  <si>
    <t>Working Capital - Gas in Storage - EGI</t>
  </si>
  <si>
    <t>Line</t>
  </si>
  <si>
    <t>Volume</t>
  </si>
  <si>
    <t>Value</t>
  </si>
  <si>
    <t>No.</t>
  </si>
  <si>
    <t> </t>
  </si>
  <si>
    <t>Particulars</t>
  </si>
  <si>
    <r>
      <rPr>
        <sz val="10"/>
        <color rgb="FF000000"/>
        <rFont val="Arial"/>
        <family val="2"/>
      </rPr>
      <t>(10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</t>
    </r>
  </si>
  <si>
    <t>($ millions)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</si>
  <si>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</si>
  <si>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</si>
  <si>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</si>
  <si>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</si>
  <si>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</si>
  <si>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</si>
  <si>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</si>
  <si>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</si>
  <si>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</si>
  <si>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</si>
  <si>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</si>
  <si>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</si>
  <si>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</si>
  <si>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Avg. of monthly avgs.</t>
  </si>
  <si>
    <t xml:space="preserve">2024 Utility Capital Expenditures by Asset Class - EGI </t>
  </si>
  <si>
    <t>Category</t>
  </si>
  <si>
    <t>(c) = (a + b)</t>
  </si>
  <si>
    <t>(e) = (c + d)</t>
  </si>
  <si>
    <t>Compression Stations</t>
  </si>
  <si>
    <t>Storage</t>
  </si>
  <si>
    <t>Customer Connections</t>
  </si>
  <si>
    <t>Growth</t>
  </si>
  <si>
    <t>Distribution Pipe</t>
  </si>
  <si>
    <t>Dist Ops</t>
  </si>
  <si>
    <t>Distribution Stations</t>
  </si>
  <si>
    <t>Fleet &amp; Equipment</t>
  </si>
  <si>
    <t>General</t>
  </si>
  <si>
    <t>Growth - Distribution System Reinforcement</t>
  </si>
  <si>
    <t>Real Estate &amp; Workplace Services</t>
  </si>
  <si>
    <t>Technology Information Services</t>
  </si>
  <si>
    <t>Transmission Pipe and Underground Storage</t>
  </si>
  <si>
    <t>Utilization</t>
  </si>
  <si>
    <t>EA Fixed Overhead</t>
  </si>
  <si>
    <t>Other</t>
  </si>
  <si>
    <t>-</t>
  </si>
  <si>
    <t>Community Expansion</t>
  </si>
  <si>
    <t>Total</t>
  </si>
  <si>
    <t>Expenditures are shown by asset class inclusive of IDC and overheads and net of contributions.</t>
  </si>
  <si>
    <t>Expenditures are shown on an annual basis.</t>
  </si>
  <si>
    <t xml:space="preserve">Total capital expenditures excludes PREP amounts of $195.9 million and Dawn to Corunna amounts of $14.0 million. </t>
  </si>
  <si>
    <t>2024 Test Year Depreciation Rates and Provisions - EGI</t>
  </si>
  <si>
    <r>
      <t xml:space="preserve">Plant </t>
    </r>
    <r>
      <rPr>
        <sz val="11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Average Balance</t>
    </r>
  </si>
  <si>
    <t>OEB- Approved Rate</t>
  </si>
  <si>
    <t>Provision - OEB- Approved Rate</t>
  </si>
  <si>
    <t>(c)</t>
  </si>
  <si>
    <t>Intangible Plant</t>
  </si>
  <si>
    <t>Franchises and Consents</t>
  </si>
  <si>
    <t>Intangible Plant - Other</t>
  </si>
  <si>
    <t>Local Storage Plant</t>
  </si>
  <si>
    <t>Structures and Improvements</t>
  </si>
  <si>
    <t>Gas holders - Storage</t>
  </si>
  <si>
    <t>Gas holders - Equipment</t>
  </si>
  <si>
    <t>Underground Storage Plant</t>
  </si>
  <si>
    <t>Land Rights</t>
  </si>
  <si>
    <t xml:space="preserve">Wells </t>
  </si>
  <si>
    <t>Wells Equipment</t>
  </si>
  <si>
    <t>Field Lines</t>
  </si>
  <si>
    <t>Compressor Equipment</t>
  </si>
  <si>
    <t>Measuring &amp; Regulating Equipment</t>
  </si>
  <si>
    <t>Transmission Plant</t>
  </si>
  <si>
    <t>Compressor Structures and Improvements</t>
  </si>
  <si>
    <t>Measuring and Regulating Structures and Improvements</t>
  </si>
  <si>
    <t>Equipment</t>
  </si>
  <si>
    <t>Mains</t>
  </si>
  <si>
    <t>2024 Test Year Depreciation Rates and Provisions - EGI (Continued)</t>
  </si>
  <si>
    <t xml:space="preserve">(c) </t>
  </si>
  <si>
    <t>Distribution Plant</t>
  </si>
  <si>
    <t>Renewable Natural Gas (2)</t>
  </si>
  <si>
    <t>Various</t>
  </si>
  <si>
    <t>Structures And Improvements - Other</t>
  </si>
  <si>
    <t>Structures And Improvements - Stoney Creek</t>
  </si>
  <si>
    <t>Structures And Improvements - Win-Rhodes</t>
  </si>
  <si>
    <t>Structures And Improvements - London Admin</t>
  </si>
  <si>
    <t>Structures And Improvements - Kingston Office</t>
  </si>
  <si>
    <t>Structures And Improvements - Mainway</t>
  </si>
  <si>
    <t>Services - Metallic</t>
  </si>
  <si>
    <t>Services - Plastic</t>
  </si>
  <si>
    <t>Regulators</t>
  </si>
  <si>
    <t>Mains - Envision</t>
  </si>
  <si>
    <t>Mains - Coated And Wrapped</t>
  </si>
  <si>
    <t>Mains - Plastic</t>
  </si>
  <si>
    <t>Company NGV Compressor Stations</t>
  </si>
  <si>
    <t>Customer M&amp;R Equipment</t>
  </si>
  <si>
    <t>Meters</t>
  </si>
  <si>
    <t>Investment In Leased Assets (3)</t>
  </si>
  <si>
    <t>Structures And Improvements - VPC</t>
  </si>
  <si>
    <t>Structures And Improvements - Thorold</t>
  </si>
  <si>
    <t>Structures And Improvements - Markham</t>
  </si>
  <si>
    <t>Structures And Improvements - Keil</t>
  </si>
  <si>
    <t>Structures And Improvements - Bloomfield</t>
  </si>
  <si>
    <t>Office Furniture And Equipment</t>
  </si>
  <si>
    <t>Transporation Equipment</t>
  </si>
  <si>
    <t>Heavy Work Equipment</t>
  </si>
  <si>
    <t>Tools And Other Equipment</t>
  </si>
  <si>
    <t>Rental - Refuel Appl</t>
  </si>
  <si>
    <t>Rental - NGV Stations</t>
  </si>
  <si>
    <t>Communications Structures And Equipment</t>
  </si>
  <si>
    <t>Computer Equipment</t>
  </si>
  <si>
    <t>Computer Equipment - Post 2023</t>
  </si>
  <si>
    <t>Provision - OEB- Approved Rate (4)</t>
  </si>
  <si>
    <t>Software Acquired Intangibles</t>
  </si>
  <si>
    <t>Software Acquired Intangibles - Post 2023</t>
  </si>
  <si>
    <t>Software Developed Intangibles</t>
  </si>
  <si>
    <t>Software Developed Intangibles - Post 2023</t>
  </si>
  <si>
    <t>CIS Acquired Software</t>
  </si>
  <si>
    <t>TIS/IT Software</t>
  </si>
  <si>
    <t>WAMS</t>
  </si>
  <si>
    <t>Plant Held For Future Use</t>
  </si>
  <si>
    <t>3.63%
2.73%</t>
  </si>
  <si>
    <t xml:space="preserve">Total </t>
  </si>
  <si>
    <t>Simple average of the opening and closing plant balances, does not represent actual rate base.</t>
  </si>
  <si>
    <t>Represents forecasted RNG projects in total using a blended rate of assets.</t>
  </si>
  <si>
    <t>Investments in leased assets excluded from depreciation provision.</t>
  </si>
  <si>
    <t>Provision calculated based on forecasted monthly additions and retirements.</t>
  </si>
  <si>
    <t>2024 Net Utility Income - EGI</t>
  </si>
  <si>
    <t>Operating Income</t>
  </si>
  <si>
    <t>Gas Sales and Distribution (1)</t>
  </si>
  <si>
    <t>Transportation (1)</t>
  </si>
  <si>
    <t>Other Operating Revenue</t>
  </si>
  <si>
    <t>Interest and Property Rental</t>
  </si>
  <si>
    <t>Other Income</t>
  </si>
  <si>
    <t>Total Operating Revenue (1)</t>
  </si>
  <si>
    <t>Operating Cost</t>
  </si>
  <si>
    <t>Gas Costs (1)</t>
  </si>
  <si>
    <t>Operation and Maintenance (1)</t>
  </si>
  <si>
    <t>Depreciation and Amortization Expense</t>
  </si>
  <si>
    <t>Fixed Financing Costs</t>
  </si>
  <si>
    <t>Debt Redemption Premium Amortization</t>
  </si>
  <si>
    <t>Municipal and Other Taxes</t>
  </si>
  <si>
    <t>Cost of Service</t>
  </si>
  <si>
    <t>Utility Income Before Income Taxes</t>
  </si>
  <si>
    <t>Utility Income (1)</t>
  </si>
  <si>
    <t>Calculation of Utility Taxable Income and Income Tax Expense - EGI</t>
  </si>
  <si>
    <t>Federal</t>
  </si>
  <si>
    <t>Provincial</t>
  </si>
  <si>
    <t>Combined</t>
  </si>
  <si>
    <t>Add</t>
  </si>
  <si>
    <t>Depreciation and Amortization</t>
  </si>
  <si>
    <t>Accrual Based Pension and OPEB costs</t>
  </si>
  <si>
    <t>Other Non-deductible Items</t>
  </si>
  <si>
    <t>Total Add Back</t>
  </si>
  <si>
    <t>Sub-total</t>
  </si>
  <si>
    <t>Deduct</t>
  </si>
  <si>
    <t>Capital Cost Allowance</t>
  </si>
  <si>
    <t>Items Capitalized for Regulatory Purposes</t>
  </si>
  <si>
    <t>Amortization of Share/Debenture Issue Expense</t>
  </si>
  <si>
    <t>Cash Based Pension and OPEB Costs</t>
  </si>
  <si>
    <t>Total Deduction</t>
  </si>
  <si>
    <t>Taxable Income</t>
  </si>
  <si>
    <t xml:space="preserve">Income Tax Rates </t>
  </si>
  <si>
    <t>Tax Provision Excluding Interest Shield</t>
  </si>
  <si>
    <t>Tax Shield on Interest Expense</t>
  </si>
  <si>
    <t xml:space="preserve"> </t>
  </si>
  <si>
    <t xml:space="preserve">Rate Base </t>
  </si>
  <si>
    <t xml:space="preserve">Return Component of Debt </t>
  </si>
  <si>
    <t xml:space="preserve">Interest Expense </t>
  </si>
  <si>
    <t xml:space="preserve">Combined Tax Rate </t>
  </si>
  <si>
    <t>Income Tax Credit</t>
  </si>
  <si>
    <t>Total Utility Income Taxes</t>
  </si>
  <si>
    <t>2024 Utility Deficiency Calculation and Required Rate of Return - EGI</t>
  </si>
  <si>
    <t>Principal</t>
  </si>
  <si>
    <t>Component</t>
  </si>
  <si>
    <t>Cost Rate</t>
  </si>
  <si>
    <t>Return Component</t>
  </si>
  <si>
    <t>(%)</t>
  </si>
  <si>
    <t>Test Year</t>
  </si>
  <si>
    <t>(d) = (b x c)</t>
  </si>
  <si>
    <t>Debt</t>
  </si>
  <si>
    <t>Long and Medium Term Debt (1)</t>
  </si>
  <si>
    <t>Short Term Debt</t>
  </si>
  <si>
    <t>Total Debt</t>
  </si>
  <si>
    <t>Common Equity</t>
  </si>
  <si>
    <t>Utility Income</t>
  </si>
  <si>
    <t>Indicated Rate of Return</t>
  </si>
  <si>
    <t>(Deficiency)/Sufficiency in Rate of Return</t>
  </si>
  <si>
    <t>Net (Deficiency)/Sufficiency</t>
  </si>
  <si>
    <t>Gross (Deficiency)/Sufficiency (1)</t>
  </si>
  <si>
    <t>Revenue at Existing Rates</t>
  </si>
  <si>
    <t>Revenue Requirement</t>
  </si>
  <si>
    <t>Gross Revenue (Deficiency)/Sufficiency (1)</t>
  </si>
  <si>
    <t>Allowed Rate of Return</t>
  </si>
  <si>
    <t>Earnings on Common Equity</t>
  </si>
  <si>
    <t>(Deficiency)/Sufficiency In Common Equity Return</t>
  </si>
  <si>
    <t>Includes ($22.5) million related to Dawn to Corunna.</t>
  </si>
  <si>
    <t>Settlement Agreement</t>
  </si>
  <si>
    <t xml:space="preserve">Long and Medium Term Debt </t>
  </si>
  <si>
    <t>Gross (Deficiency)/Sufficiency</t>
  </si>
  <si>
    <t>Reflective of additional settlement adjustments as per Draft Rate Order Overview, p. 2, Table 1.</t>
  </si>
  <si>
    <t>Gross Revenue (Deficiency)/Sufficiency</t>
  </si>
  <si>
    <t>2024 Test Year - Calculation of Total Revenue Deficiency - EGI</t>
  </si>
  <si>
    <t>Delivery</t>
  </si>
  <si>
    <t>Gas Supply</t>
  </si>
  <si>
    <t>Cost of Capital</t>
  </si>
  <si>
    <t>Required Rate of Return</t>
  </si>
  <si>
    <t>Required Return</t>
  </si>
  <si>
    <t>Gas Costs</t>
  </si>
  <si>
    <t>Operations and Maintenance</t>
  </si>
  <si>
    <t>Miscellaneous Operating and Non-Operating Revenue</t>
  </si>
  <si>
    <t>Income Taxes on Earnings</t>
  </si>
  <si>
    <t>Excluding Tax Shield</t>
  </si>
  <si>
    <t>Tax Shield Provided by Interest Expense</t>
  </si>
  <si>
    <t>Taxes on (Deficiency)/Sufficiency</t>
  </si>
  <si>
    <t xml:space="preserve">Gross (Deficiency)/Sufficiency </t>
  </si>
  <si>
    <t>Revenue At Existing Rates</t>
  </si>
  <si>
    <t>Gas Sales</t>
  </si>
  <si>
    <t>Transmission, Compression &amp; Storage</t>
  </si>
  <si>
    <t>Total Revenue At Existing Rates</t>
  </si>
  <si>
    <t>Gross Revenue (Deficiency)</t>
  </si>
  <si>
    <t>2024 Test Year - Calculation of Delivery Revenue Deficiency - EGI</t>
  </si>
  <si>
    <t>2024 Test Year - Calculation of Gas Supply Revenue Deficiency - EGI</t>
  </si>
  <si>
    <t>Net Revenue Requirement</t>
  </si>
  <si>
    <t>Revenue at 2023 Gas Supply Rates</t>
  </si>
  <si>
    <t>Gas Cost Revenue Adjustment</t>
  </si>
  <si>
    <t>Natural Gas Vehicle (NGV) Program - 2024 Rate of Return Summary - EGI</t>
  </si>
  <si>
    <t>Total Revenue</t>
  </si>
  <si>
    <t>CNG Rental Station - Gross O&amp;M</t>
  </si>
  <si>
    <t>Reclass of Maintenance O&amp;M to Revenue (1)</t>
  </si>
  <si>
    <t xml:space="preserve">CNG Rental Station - Capitalization </t>
  </si>
  <si>
    <t>Depreciation Expense</t>
  </si>
  <si>
    <t>Total Expenses</t>
  </si>
  <si>
    <t>Operating Income before Income Taxes</t>
  </si>
  <si>
    <t>Operating Income after Income Taxes</t>
  </si>
  <si>
    <t>Investment</t>
  </si>
  <si>
    <t>Net Utility Investment</t>
  </si>
  <si>
    <t xml:space="preserve">Rate of Return on Investment </t>
  </si>
  <si>
    <t>After Tax (Deficiency)/Sufficiency</t>
  </si>
  <si>
    <t>Pre Tax (Deficiency)/Sufficiency</t>
  </si>
  <si>
    <t>The revenue reported in line 1 excludes third-party NGV maintenance cost recoveries from program participants of $0.6 million. The associated expenses included in line 2 have been eliminated in line 3, given they are a pass-through cost.</t>
  </si>
  <si>
    <t>Per Exhibit JT17.11.</t>
  </si>
  <si>
    <t>Adjust Gas Sales and Distribution Revenue and Gas Costs by offsetting amounts: ($79.9 million) remove Gas Cost Revenue Adjustment (please see Exhibit 6, Tab 1, Schedule 2, p. 5); $4.6 million for the approximate Gas Cost update related to the settled 9,525 customer increase by the end of 2024.</t>
  </si>
  <si>
    <t xml:space="preserve">Removal of 2024 gas supply cost harmonization and related impacts that will be addressed in Phase 2 and Phase 3. </t>
  </si>
  <si>
    <t>Removal of proposals to expand the PDCI payment and harmonize billing service options that will be addressed in Phase 3.</t>
  </si>
  <si>
    <t xml:space="preserve">Increase in non-utility cross charge as per Exhibit 7, Tab 1, Schedule 1, p.10, paragraph 26. 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</si>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</sst>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.0_);\(#,##0.0\)"/>
    <numFmt numFmtId="165" formatCode="0.000"/>
    <numFmt numFmtId="166" formatCode="0.000%"/>
    <numFmt numFmtId="167" formatCode="###0.000%;\(###0.000%\)\ "/>
    <numFmt numFmtId="168" formatCode="_(* #,##0.0_);_(* \(#,##0.0\);_(* &quot;-&quot;??_);_(@_)"/>
    <numFmt numFmtId="169" formatCode="0.0"/>
    <numFmt numFmtId="170" formatCode="#,##0.0"/>
    <numFmt numFmtId="171" formatCode="0.0_);\(0.0\)"/>
    <numFmt numFmtId="172" formatCode="###0.0%;\(###0.0%\)\ "/>
    <numFmt numFmtId="173" formatCode="0.00_);\(0.00\)"/>
    <numFmt numFmtId="174" formatCode="0.0%"/>
  </numFmts>
  <fonts count="12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</cellStyleXfs>
  <cellXfs count="1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Continuous" wrapText="1"/>
    </xf>
    <xf numFmtId="164" fontId="2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10" fontId="2" fillId="0" borderId="0" xfId="1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8" fontId="5" fillId="0" borderId="0" xfId="2" applyNumberFormat="1" applyFont="1" applyFill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170" fontId="5" fillId="0" borderId="0" xfId="0" applyNumberFormat="1" applyFont="1" applyAlignment="1">
      <alignment horizontal="center"/>
    </xf>
    <xf numFmtId="171" fontId="5" fillId="0" borderId="1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Continuous" wrapText="1"/>
    </xf>
    <xf numFmtId="0" fontId="2" fillId="0" borderId="0" xfId="3" applyFont="1" applyAlignment="1">
      <alignment horizontal="left" wrapText="1" indent="2"/>
    </xf>
    <xf numFmtId="164" fontId="2" fillId="0" borderId="7" xfId="0" applyNumberFormat="1" applyFont="1" applyBorder="1" applyAlignment="1">
      <alignment horizontal="center"/>
    </xf>
    <xf numFmtId="169" fontId="0" fillId="0" borderId="0" xfId="0" applyNumberFormat="1"/>
    <xf numFmtId="0" fontId="2" fillId="0" borderId="0" xfId="3" applyFont="1"/>
    <xf numFmtId="0" fontId="2" fillId="0" borderId="0" xfId="3" applyFont="1" applyAlignment="1">
      <alignment horizontal="center"/>
    </xf>
    <xf numFmtId="0" fontId="1" fillId="0" borderId="0" xfId="3" applyFont="1" applyAlignment="1">
      <alignment wrapText="1"/>
    </xf>
    <xf numFmtId="0" fontId="2" fillId="0" borderId="1" xfId="3" applyFont="1" applyBorder="1" applyAlignment="1">
      <alignment horizontal="center" wrapText="1"/>
    </xf>
    <xf numFmtId="0" fontId="2" fillId="0" borderId="0" xfId="3" applyFont="1" applyAlignment="1">
      <alignment wrapText="1"/>
    </xf>
    <xf numFmtId="0" fontId="2" fillId="0" borderId="1" xfId="3" applyFont="1" applyBorder="1" applyAlignment="1">
      <alignment wrapText="1"/>
    </xf>
    <xf numFmtId="0" fontId="2" fillId="0" borderId="0" xfId="3" applyFont="1" applyAlignment="1">
      <alignment horizontal="center" wrapText="1"/>
    </xf>
    <xf numFmtId="0" fontId="1" fillId="0" borderId="0" xfId="3" applyFont="1"/>
    <xf numFmtId="171" fontId="5" fillId="0" borderId="1" xfId="3" applyNumberFormat="1" applyBorder="1" applyAlignment="1">
      <alignment horizontal="center"/>
    </xf>
    <xf numFmtId="171" fontId="5" fillId="0" borderId="0" xfId="3" applyNumberFormat="1" applyAlignment="1">
      <alignment horizontal="center"/>
    </xf>
    <xf numFmtId="171" fontId="5" fillId="0" borderId="6" xfId="3" applyNumberFormat="1" applyBorder="1" applyAlignment="1">
      <alignment horizontal="center"/>
    </xf>
    <xf numFmtId="171" fontId="5" fillId="0" borderId="5" xfId="3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72" fontId="2" fillId="0" borderId="0" xfId="1" applyNumberFormat="1" applyFont="1" applyAlignment="1">
      <alignment horizontal="center"/>
    </xf>
    <xf numFmtId="172" fontId="2" fillId="0" borderId="0" xfId="3" applyNumberFormat="1" applyFont="1" applyAlignment="1">
      <alignment horizontal="center"/>
    </xf>
    <xf numFmtId="0" fontId="5" fillId="0" borderId="0" xfId="3"/>
    <xf numFmtId="0" fontId="5" fillId="0" borderId="0" xfId="3" applyAlignment="1">
      <alignment horizontal="center"/>
    </xf>
    <xf numFmtId="0" fontId="6" fillId="0" borderId="0" xfId="0" applyFont="1"/>
    <xf numFmtId="16" fontId="5" fillId="0" borderId="0" xfId="0" applyNumberFormat="1" applyFont="1"/>
    <xf numFmtId="0" fontId="5" fillId="0" borderId="0" xfId="0" quotePrefix="1" applyFont="1" applyAlignment="1">
      <alignment horizontal="left"/>
    </xf>
    <xf numFmtId="10" fontId="2" fillId="0" borderId="0" xfId="1" applyNumberFormat="1" applyFont="1" applyFill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170" fontId="5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3" xfId="2" applyNumberFormat="1" applyFont="1" applyBorder="1" applyAlignment="1" applyProtection="1">
      <alignment horizontal="center"/>
    </xf>
    <xf numFmtId="0" fontId="5" fillId="0" borderId="0" xfId="0" quotePrefix="1" applyFont="1" applyAlignment="1">
      <alignment horizontal="center"/>
    </xf>
    <xf numFmtId="0" fontId="8" fillId="0" borderId="1" xfId="0" applyFont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70" fontId="8" fillId="0" borderId="0" xfId="0" applyNumberFormat="1" applyFont="1" applyAlignment="1">
      <alignment horizontal="center"/>
    </xf>
    <xf numFmtId="168" fontId="8" fillId="0" borderId="0" xfId="0" applyNumberFormat="1" applyFont="1"/>
    <xf numFmtId="168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168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9" fontId="8" fillId="0" borderId="2" xfId="0" applyNumberFormat="1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 vertical="center"/>
    </xf>
    <xf numFmtId="170" fontId="8" fillId="0" borderId="3" xfId="0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70" fontId="8" fillId="0" borderId="2" xfId="0" applyNumberFormat="1" applyFont="1" applyBorder="1" applyAlignment="1">
      <alignment horizontal="center"/>
    </xf>
    <xf numFmtId="171" fontId="0" fillId="0" borderId="0" xfId="0" applyNumberFormat="1"/>
    <xf numFmtId="164" fontId="2" fillId="0" borderId="0" xfId="0" applyNumberFormat="1" applyFont="1" applyAlignment="1">
      <alignment horizontal="left" vertical="top"/>
    </xf>
    <xf numFmtId="174" fontId="2" fillId="0" borderId="3" xfId="1" applyNumberFormat="1" applyFont="1" applyFill="1" applyBorder="1" applyAlignment="1">
      <alignment horizontal="center"/>
    </xf>
    <xf numFmtId="0" fontId="7" fillId="0" borderId="0" xfId="0" applyFont="1"/>
    <xf numFmtId="171" fontId="5" fillId="0" borderId="0" xfId="3" applyNumberFormat="1" applyAlignment="1">
      <alignment horizontal="right"/>
    </xf>
    <xf numFmtId="0" fontId="0" fillId="0" borderId="0" xfId="0" applyAlignment="1">
      <alignment horizontal="right"/>
    </xf>
    <xf numFmtId="43" fontId="2" fillId="0" borderId="0" xfId="0" applyNumberFormat="1" applyFont="1"/>
    <xf numFmtId="49" fontId="2" fillId="0" borderId="0" xfId="0" applyNumberFormat="1" applyFont="1" applyAlignment="1">
      <alignment horizontal="center" vertical="top"/>
    </xf>
    <xf numFmtId="0" fontId="11" fillId="0" borderId="0" xfId="0" applyFont="1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2" fillId="0" borderId="0" xfId="0" quotePrefix="1" applyFont="1" applyFill="1" applyAlignment="1">
      <alignment horizontal="center" vertical="top"/>
    </xf>
    <xf numFmtId="0" fontId="2" fillId="0" borderId="0" xfId="0" applyFont="1" applyFill="1"/>
    <xf numFmtId="0" fontId="2" fillId="0" borderId="0" xfId="0" applyFont="1" applyFill="1"/>
    <xf numFmtId="170" fontId="8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0" fontId="8" fillId="0" borderId="0" xfId="0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9" fontId="8" fillId="0" borderId="0" xfId="0" applyNumberFormat="1" applyFont="1" applyFill="1" applyAlignment="1">
      <alignment horizontal="center"/>
    </xf>
    <xf numFmtId="37" fontId="2" fillId="0" borderId="0" xfId="0" quotePrefix="1" applyNumberFormat="1" applyFont="1" applyFill="1" applyAlignment="1">
      <alignment horizontal="center"/>
    </xf>
    <xf numFmtId="164" fontId="2" fillId="0" borderId="0" xfId="0" quotePrefix="1" applyNumberFormat="1" applyFont="1" applyFill="1" applyAlignment="1">
      <alignment horizontal="center"/>
    </xf>
    <xf numFmtId="170" fontId="8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39" fontId="2" fillId="0" borderId="0" xfId="0" applyNumberFormat="1" applyFont="1" applyFill="1"/>
    <xf numFmtId="0" fontId="5" fillId="0" borderId="0" xfId="0" applyFont="1" applyFill="1"/>
    <xf numFmtId="164" fontId="5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11" fillId="0" borderId="0" xfId="0" applyFont="1" applyFill="1"/>
    <xf numFmtId="49" fontId="2" fillId="0" borderId="0" xfId="0" quotePrefix="1" applyNumberFormat="1" applyFont="1" applyFill="1" applyAlignment="1">
      <alignment horizontal="center" vertical="top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10" fontId="5" fillId="0" borderId="0" xfId="0" applyNumberFormat="1" applyFont="1" applyFill="1" applyAlignment="1">
      <alignment horizontal="center"/>
    </xf>
    <xf numFmtId="169" fontId="5" fillId="0" borderId="0" xfId="0" applyNumberFormat="1" applyFont="1" applyFill="1" applyAlignment="1">
      <alignment horizontal="center"/>
    </xf>
    <xf numFmtId="170" fontId="5" fillId="0" borderId="0" xfId="0" applyNumberFormat="1" applyFont="1" applyFill="1" applyAlignment="1">
      <alignment horizontal="center"/>
    </xf>
    <xf numFmtId="171" fontId="5" fillId="0" borderId="0" xfId="0" applyNumberFormat="1" applyFont="1" applyFill="1" applyAlignment="1">
      <alignment horizontal="center"/>
    </xf>
    <xf numFmtId="171" fontId="5" fillId="0" borderId="3" xfId="0" applyNumberFormat="1" applyFont="1" applyFill="1" applyBorder="1" applyAlignment="1">
      <alignment horizontal="center"/>
    </xf>
    <xf numFmtId="171" fontId="2" fillId="0" borderId="0" xfId="0" applyNumberFormat="1" applyFont="1" applyFill="1"/>
    <xf numFmtId="49" fontId="2" fillId="0" borderId="0" xfId="0" quotePrefix="1" applyNumberFormat="1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wrapText="1"/>
    </xf>
    <xf numFmtId="2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2" fillId="0" borderId="0" xfId="0" applyFont="1" applyFill="1"/>
    <xf numFmtId="169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Continuous" wrapText="1"/>
    </xf>
    <xf numFmtId="0" fontId="1" fillId="0" borderId="0" xfId="0" applyFont="1" applyFill="1" applyAlignment="1">
      <alignment horizontal="centerContinuous" wrapText="1"/>
    </xf>
    <xf numFmtId="0" fontId="1" fillId="0" borderId="0" xfId="0" applyFont="1" applyFill="1" applyAlignment="1">
      <alignment horizontal="center" wrapText="1"/>
    </xf>
    <xf numFmtId="164" fontId="2" fillId="0" borderId="2" xfId="0" quotePrefix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/>
    <xf numFmtId="0" fontId="1" fillId="0" borderId="0" xfId="3" applyFont="1" applyAlignment="1">
      <alignment horizontal="center"/>
    </xf>
    <xf numFmtId="0" fontId="7" fillId="0" borderId="0" xfId="0" applyFont="1" applyAlignment="1">
      <alignment horizontal="left"/>
    </xf>
  </cellXfs>
  <cellStyles count="5">
    <cellStyle name="Comma" xfId="2" builtinId="3"/>
    <cellStyle name="Normal" xfId="0" builtinId="0"/>
    <cellStyle name="Normal 16" xfId="4" xr:uid="{396735A9-6077-4FFB-81BC-4DCA6411DF86}"/>
    <cellStyle name="Normal 7" xfId="3" xr:uid="{2D737445-EB12-4587-8159-C9F3010F0E9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F443-B650-43FD-8B62-A3700B134E06}">
  <sheetPr codeName="Sheet1">
    <tabColor theme="9" tint="0.59999389629810485"/>
  </sheetPr>
  <dimension ref="A6:F96"/>
  <sheetViews>
    <sheetView showWhiteSpace="0" view="pageLayout" zoomScaleNormal="100" workbookViewId="0"/>
  </sheetViews>
  <sheetFormatPr defaultColWidth="101.140625" defaultRowHeight="12.75" x14ac:dyDescent="0.2"/>
  <cols>
    <col min="1" max="1" width="5.5703125" style="114" bestFit="1" customWidth="1"/>
    <col min="2" max="2" width="1.42578125" style="114" customWidth="1"/>
    <col min="3" max="3" width="34.5703125" style="114" customWidth="1"/>
    <col min="4" max="4" width="1.42578125" style="114" customWidth="1"/>
    <col min="5" max="5" width="24.42578125" style="114" customWidth="1"/>
    <col min="6" max="6" width="14" style="114" customWidth="1"/>
    <col min="7" max="70" width="12.5703125" style="114" customWidth="1"/>
    <col min="71" max="16384" width="101.140625" style="114"/>
  </cols>
  <sheetData>
    <row r="6" spans="1:6" s="112" customFormat="1" x14ac:dyDescent="0.2">
      <c r="A6" s="111" t="s">
        <v>0</v>
      </c>
      <c r="B6" s="111"/>
      <c r="C6" s="111"/>
      <c r="D6" s="111"/>
      <c r="E6" s="111"/>
      <c r="F6" s="111"/>
    </row>
    <row r="7" spans="1:6" s="112" customFormat="1" x14ac:dyDescent="0.2">
      <c r="A7" s="111" t="s">
        <v>1</v>
      </c>
      <c r="B7" s="111"/>
      <c r="C7" s="111"/>
      <c r="D7" s="111"/>
      <c r="E7" s="111"/>
      <c r="F7" s="111"/>
    </row>
    <row r="8" spans="1:6" x14ac:dyDescent="0.2">
      <c r="A8" s="111" t="s">
        <v>2</v>
      </c>
      <c r="B8" s="113"/>
      <c r="C8" s="113"/>
      <c r="D8" s="113"/>
      <c r="E8" s="113"/>
      <c r="F8" s="113"/>
    </row>
    <row r="9" spans="1:6" s="115" customFormat="1" x14ac:dyDescent="0.2">
      <c r="E9" s="116"/>
      <c r="F9" s="116"/>
    </row>
    <row r="10" spans="1:6" s="118" customFormat="1" ht="25.5" x14ac:dyDescent="0.2">
      <c r="A10" s="117" t="s">
        <v>3</v>
      </c>
      <c r="C10" s="119" t="s">
        <v>4</v>
      </c>
      <c r="E10" s="117" t="s">
        <v>5</v>
      </c>
      <c r="F10" s="117"/>
    </row>
    <row r="11" spans="1:6" x14ac:dyDescent="0.2">
      <c r="E11" s="120" t="s">
        <v>6</v>
      </c>
      <c r="F11" s="120" t="s">
        <v>7</v>
      </c>
    </row>
    <row r="12" spans="1:6" x14ac:dyDescent="0.2">
      <c r="E12" s="120"/>
      <c r="F12" s="120"/>
    </row>
    <row r="13" spans="1:6" x14ac:dyDescent="0.2">
      <c r="A13" s="120">
        <v>1</v>
      </c>
      <c r="C13" s="114" t="s">
        <v>8</v>
      </c>
      <c r="E13" s="120" t="s">
        <v>9</v>
      </c>
      <c r="F13" s="121">
        <f>'2024 Rate Base'!I31</f>
        <v>15716.754869377804</v>
      </c>
    </row>
    <row r="14" spans="1:6" x14ac:dyDescent="0.2">
      <c r="A14" s="120"/>
    </row>
    <row r="15" spans="1:6" x14ac:dyDescent="0.2">
      <c r="A15" s="120">
        <v>2</v>
      </c>
      <c r="C15" s="114" t="s">
        <v>10</v>
      </c>
      <c r="E15" s="122" t="s">
        <v>11</v>
      </c>
      <c r="F15" s="123">
        <f>'Utility Income'!I37</f>
        <v>870.74617294147765</v>
      </c>
    </row>
    <row r="16" spans="1:6" x14ac:dyDescent="0.2">
      <c r="A16" s="120"/>
      <c r="E16" s="122"/>
      <c r="F16" s="122"/>
    </row>
    <row r="17" spans="1:6" x14ac:dyDescent="0.2">
      <c r="A17" s="120">
        <v>3</v>
      </c>
      <c r="C17" s="114" t="s">
        <v>12</v>
      </c>
      <c r="E17" s="122" t="s">
        <v>13</v>
      </c>
      <c r="F17" s="123">
        <f>'2024 Capital Expenditures'!J25</f>
        <v>1141.4000000000001</v>
      </c>
    </row>
    <row r="18" spans="1:6" x14ac:dyDescent="0.2">
      <c r="A18" s="120"/>
      <c r="E18" s="122"/>
      <c r="F18" s="122"/>
    </row>
    <row r="19" spans="1:6" x14ac:dyDescent="0.2">
      <c r="A19" s="120">
        <v>4</v>
      </c>
      <c r="C19" s="114" t="s">
        <v>14</v>
      </c>
      <c r="E19" s="122" t="s">
        <v>15</v>
      </c>
      <c r="F19" s="123">
        <f>'Utility Income'!I26</f>
        <v>730.15800000000002</v>
      </c>
    </row>
    <row r="20" spans="1:6" x14ac:dyDescent="0.2">
      <c r="A20" s="120"/>
      <c r="E20" s="122"/>
      <c r="F20" s="122"/>
    </row>
    <row r="21" spans="1:6" x14ac:dyDescent="0.2">
      <c r="A21" s="120">
        <v>5</v>
      </c>
      <c r="C21" s="114" t="s">
        <v>16</v>
      </c>
      <c r="E21" s="122" t="s">
        <v>17</v>
      </c>
      <c r="F21" s="124">
        <f>'Capital Structure OEB Decision'!E38</f>
        <v>7.7824515992847898E-2</v>
      </c>
    </row>
    <row r="22" spans="1:6" x14ac:dyDescent="0.2">
      <c r="A22" s="120"/>
      <c r="E22" s="122"/>
      <c r="F22" s="122"/>
    </row>
    <row r="23" spans="1:6" x14ac:dyDescent="0.2">
      <c r="A23" s="120">
        <v>6</v>
      </c>
      <c r="C23" s="114" t="s">
        <v>18</v>
      </c>
      <c r="E23" s="122" t="s">
        <v>17</v>
      </c>
      <c r="F23" s="124">
        <f>'Capital Structure OEB Decision'!E37</f>
        <v>9.2100000000000001E-2</v>
      </c>
    </row>
    <row r="24" spans="1:6" x14ac:dyDescent="0.2">
      <c r="A24" s="120"/>
      <c r="E24" s="122"/>
      <c r="F24" s="122"/>
    </row>
    <row r="25" spans="1:6" x14ac:dyDescent="0.2">
      <c r="A25" s="120">
        <v>7</v>
      </c>
      <c r="C25" s="114" t="s">
        <v>19</v>
      </c>
      <c r="E25" s="122" t="s">
        <v>17</v>
      </c>
      <c r="F25" s="125">
        <f>F21-F23</f>
        <v>-1.4275484007152103E-2</v>
      </c>
    </row>
    <row r="26" spans="1:6" x14ac:dyDescent="0.2">
      <c r="A26" s="120"/>
      <c r="E26" s="122"/>
      <c r="F26" s="122"/>
    </row>
    <row r="27" spans="1:6" x14ac:dyDescent="0.2">
      <c r="A27" s="120">
        <v>8</v>
      </c>
      <c r="C27" s="114" t="s">
        <v>20</v>
      </c>
      <c r="E27" s="122" t="s">
        <v>21</v>
      </c>
      <c r="F27" s="123">
        <f>'Capital Structure OEB Decision'!E29</f>
        <v>-85.258427457210317</v>
      </c>
    </row>
    <row r="28" spans="1:6" x14ac:dyDescent="0.2">
      <c r="A28" s="120"/>
      <c r="E28" s="122"/>
      <c r="F28" s="123"/>
    </row>
    <row r="29" spans="1:6" x14ac:dyDescent="0.2">
      <c r="A29" s="120">
        <v>9</v>
      </c>
      <c r="C29" s="114" t="s">
        <v>22</v>
      </c>
      <c r="E29" s="122" t="s">
        <v>21</v>
      </c>
      <c r="F29" s="123">
        <f>F35</f>
        <v>-115.97610185922804</v>
      </c>
    </row>
    <row r="30" spans="1:6" x14ac:dyDescent="0.2">
      <c r="A30" s="120"/>
      <c r="E30" s="122"/>
      <c r="F30" s="122"/>
    </row>
    <row r="31" spans="1:6" x14ac:dyDescent="0.2">
      <c r="A31" s="120">
        <v>10</v>
      </c>
      <c r="C31" s="114" t="s">
        <v>23</v>
      </c>
      <c r="E31" s="122" t="s">
        <v>21</v>
      </c>
      <c r="F31" s="123">
        <f>'Capital Structure OEB Decision'!E31</f>
        <v>5945.44237118</v>
      </c>
    </row>
    <row r="32" spans="1:6" x14ac:dyDescent="0.2">
      <c r="A32" s="120"/>
      <c r="E32" s="122"/>
      <c r="F32" s="123"/>
    </row>
    <row r="33" spans="1:6" x14ac:dyDescent="0.2">
      <c r="A33" s="120">
        <v>11</v>
      </c>
      <c r="C33" s="114" t="s">
        <v>24</v>
      </c>
      <c r="E33" s="122" t="s">
        <v>21</v>
      </c>
      <c r="F33" s="123">
        <f>'Capital Structure OEB Decision'!E32</f>
        <v>6061.418473039228</v>
      </c>
    </row>
    <row r="34" spans="1:6" x14ac:dyDescent="0.2">
      <c r="A34" s="120"/>
      <c r="E34" s="122"/>
      <c r="F34" s="123"/>
    </row>
    <row r="35" spans="1:6" x14ac:dyDescent="0.2">
      <c r="A35" s="120">
        <v>12</v>
      </c>
      <c r="C35" s="114" t="s">
        <v>25</v>
      </c>
      <c r="E35" s="122" t="s">
        <v>21</v>
      </c>
      <c r="F35" s="123">
        <f>'Capital Structure OEB Decision'!E33</f>
        <v>-115.97610185922804</v>
      </c>
    </row>
    <row r="37" spans="1:6" x14ac:dyDescent="0.2">
      <c r="A37" s="115" t="s">
        <v>26</v>
      </c>
    </row>
    <row r="38" spans="1:6" ht="14.45" customHeight="1" x14ac:dyDescent="0.2">
      <c r="A38" s="126" t="s">
        <v>27</v>
      </c>
      <c r="B38" s="181" t="s">
        <v>28</v>
      </c>
      <c r="C38" s="181"/>
      <c r="D38" s="181"/>
      <c r="E38" s="181"/>
    </row>
    <row r="59" spans="1:6" x14ac:dyDescent="0.2">
      <c r="A59" s="111" t="s">
        <v>0</v>
      </c>
      <c r="B59" s="111"/>
      <c r="C59" s="111"/>
      <c r="D59" s="111"/>
      <c r="E59" s="111"/>
      <c r="F59" s="111"/>
    </row>
    <row r="60" spans="1:6" x14ac:dyDescent="0.2">
      <c r="A60" s="111" t="s">
        <v>29</v>
      </c>
      <c r="B60" s="111"/>
      <c r="C60" s="111"/>
      <c r="D60" s="111"/>
      <c r="E60" s="111"/>
      <c r="F60" s="111"/>
    </row>
    <row r="61" spans="1:6" x14ac:dyDescent="0.2">
      <c r="A61" s="111" t="s">
        <v>2</v>
      </c>
      <c r="B61" s="113"/>
      <c r="C61" s="113"/>
      <c r="D61" s="113"/>
      <c r="E61" s="113"/>
      <c r="F61" s="113"/>
    </row>
    <row r="62" spans="1:6" x14ac:dyDescent="0.2">
      <c r="A62" s="115"/>
      <c r="B62" s="115"/>
      <c r="C62" s="115"/>
      <c r="D62" s="115"/>
      <c r="E62" s="116"/>
      <c r="F62" s="116"/>
    </row>
    <row r="63" spans="1:6" ht="25.5" x14ac:dyDescent="0.2">
      <c r="A63" s="117" t="s">
        <v>3</v>
      </c>
      <c r="B63" s="118"/>
      <c r="C63" s="119" t="s">
        <v>4</v>
      </c>
      <c r="D63" s="118"/>
      <c r="E63" s="117" t="s">
        <v>30</v>
      </c>
      <c r="F63" s="117" t="s">
        <v>31</v>
      </c>
    </row>
    <row r="64" spans="1:6" x14ac:dyDescent="0.2">
      <c r="E64" s="120" t="s">
        <v>6</v>
      </c>
      <c r="F64" s="120" t="s">
        <v>7</v>
      </c>
    </row>
    <row r="65" spans="1:6" x14ac:dyDescent="0.2">
      <c r="E65" s="120"/>
      <c r="F65" s="120"/>
    </row>
    <row r="66" spans="1:6" x14ac:dyDescent="0.2">
      <c r="A66" s="120">
        <v>1</v>
      </c>
      <c r="C66" s="115" t="s">
        <v>32</v>
      </c>
      <c r="E66" s="127">
        <v>15801.8</v>
      </c>
      <c r="F66" s="127">
        <v>203.3</v>
      </c>
    </row>
    <row r="67" spans="1:6" x14ac:dyDescent="0.2">
      <c r="C67" s="115"/>
      <c r="E67" s="123"/>
      <c r="F67" s="123"/>
    </row>
    <row r="68" spans="1:6" x14ac:dyDescent="0.2">
      <c r="C68" s="115" t="s">
        <v>33</v>
      </c>
    </row>
    <row r="69" spans="1:6" x14ac:dyDescent="0.2">
      <c r="A69" s="120">
        <f>A66+1</f>
        <v>2</v>
      </c>
      <c r="C69" s="114" t="s">
        <v>34</v>
      </c>
      <c r="E69" s="123">
        <v>0</v>
      </c>
      <c r="F69" s="128">
        <v>0</v>
      </c>
    </row>
    <row r="70" spans="1:6" x14ac:dyDescent="0.2">
      <c r="A70" s="120">
        <f t="shared" ref="A70:A75" si="0">A69+1</f>
        <v>3</v>
      </c>
      <c r="C70" s="114" t="s">
        <v>35</v>
      </c>
      <c r="E70" s="123">
        <v>0</v>
      </c>
      <c r="F70" s="123">
        <v>75.3</v>
      </c>
    </row>
    <row r="71" spans="1:6" x14ac:dyDescent="0.2">
      <c r="A71" s="120">
        <f t="shared" si="0"/>
        <v>4</v>
      </c>
      <c r="C71" s="114" t="s">
        <v>36</v>
      </c>
      <c r="E71" s="123">
        <v>0</v>
      </c>
      <c r="F71" s="123">
        <v>-75.3</v>
      </c>
    </row>
    <row r="72" spans="1:6" x14ac:dyDescent="0.2">
      <c r="A72" s="120">
        <f t="shared" si="0"/>
        <v>5</v>
      </c>
      <c r="C72" s="114" t="s">
        <v>37</v>
      </c>
      <c r="E72" s="123">
        <v>0</v>
      </c>
      <c r="F72" s="123">
        <v>-12.6</v>
      </c>
    </row>
    <row r="73" spans="1:6" x14ac:dyDescent="0.2">
      <c r="A73" s="120">
        <f t="shared" si="0"/>
        <v>6</v>
      </c>
      <c r="C73" s="114" t="s">
        <v>38</v>
      </c>
      <c r="E73" s="123">
        <v>0</v>
      </c>
      <c r="F73" s="123">
        <v>-2.9</v>
      </c>
    </row>
    <row r="74" spans="1:6" x14ac:dyDescent="0.2">
      <c r="A74" s="120">
        <f t="shared" si="0"/>
        <v>7</v>
      </c>
      <c r="C74" s="114" t="s">
        <v>39</v>
      </c>
      <c r="E74" s="123">
        <v>0</v>
      </c>
      <c r="F74" s="123">
        <v>0.8</v>
      </c>
    </row>
    <row r="75" spans="1:6" x14ac:dyDescent="0.2">
      <c r="A75" s="120">
        <f t="shared" si="0"/>
        <v>8</v>
      </c>
      <c r="C75" s="114" t="s">
        <v>40</v>
      </c>
      <c r="E75" s="123">
        <v>0</v>
      </c>
      <c r="F75" s="123">
        <v>-0.5</v>
      </c>
    </row>
    <row r="76" spans="1:6" x14ac:dyDescent="0.2">
      <c r="A76" s="120"/>
      <c r="E76" s="123"/>
      <c r="F76" s="123"/>
    </row>
    <row r="77" spans="1:6" x14ac:dyDescent="0.2">
      <c r="A77" s="120">
        <f>A75+1</f>
        <v>9</v>
      </c>
      <c r="C77" s="115" t="s">
        <v>41</v>
      </c>
      <c r="E77" s="127">
        <f>SUM(E66:E73)</f>
        <v>15801.8</v>
      </c>
      <c r="F77" s="127">
        <f>189-0.9</f>
        <v>188.1</v>
      </c>
    </row>
    <row r="78" spans="1:6" x14ac:dyDescent="0.2">
      <c r="A78" s="120"/>
      <c r="C78" s="115"/>
      <c r="E78" s="123"/>
      <c r="F78" s="123"/>
    </row>
    <row r="79" spans="1:6" x14ac:dyDescent="0.2">
      <c r="A79" s="120"/>
      <c r="C79" s="115" t="s">
        <v>42</v>
      </c>
      <c r="E79" s="123"/>
      <c r="F79" s="123"/>
    </row>
    <row r="81" spans="1:6" x14ac:dyDescent="0.2">
      <c r="A81" s="120">
        <f>A77+1</f>
        <v>10</v>
      </c>
      <c r="C81" s="114" t="s">
        <v>43</v>
      </c>
      <c r="E81" s="123">
        <v>0</v>
      </c>
      <c r="F81" s="123">
        <v>44.7</v>
      </c>
    </row>
    <row r="82" spans="1:6" x14ac:dyDescent="0.2">
      <c r="A82" s="120">
        <f t="shared" ref="A82:A87" si="1">A81+1</f>
        <v>11</v>
      </c>
      <c r="C82" s="114" t="s">
        <v>44</v>
      </c>
      <c r="E82" s="123">
        <v>-91</v>
      </c>
      <c r="F82" s="123">
        <v>-33.799999999999997</v>
      </c>
    </row>
    <row r="83" spans="1:6" x14ac:dyDescent="0.2">
      <c r="A83" s="120">
        <f t="shared" si="1"/>
        <v>12</v>
      </c>
      <c r="C83" s="114" t="s">
        <v>45</v>
      </c>
      <c r="E83" s="123">
        <v>-75</v>
      </c>
      <c r="F83" s="123">
        <v>4.8</v>
      </c>
    </row>
    <row r="84" spans="1:6" x14ac:dyDescent="0.2">
      <c r="A84" s="120">
        <f t="shared" si="1"/>
        <v>13</v>
      </c>
      <c r="C84" s="114" t="s">
        <v>46</v>
      </c>
      <c r="E84" s="123">
        <v>-14</v>
      </c>
      <c r="F84" s="123">
        <v>56.6</v>
      </c>
    </row>
    <row r="85" spans="1:6" x14ac:dyDescent="0.2">
      <c r="A85" s="120">
        <f t="shared" si="1"/>
        <v>14</v>
      </c>
      <c r="C85" s="114" t="s">
        <v>47</v>
      </c>
      <c r="E85" s="123">
        <v>68.2</v>
      </c>
      <c r="F85" s="123">
        <v>-146</v>
      </c>
    </row>
    <row r="86" spans="1:6" x14ac:dyDescent="0.2">
      <c r="A86" s="120">
        <f t="shared" si="1"/>
        <v>15</v>
      </c>
      <c r="C86" s="114" t="s">
        <v>48</v>
      </c>
      <c r="E86" s="123">
        <v>24.1</v>
      </c>
      <c r="F86" s="123">
        <v>1.6</v>
      </c>
    </row>
    <row r="87" spans="1:6" x14ac:dyDescent="0.2">
      <c r="A87" s="120">
        <f t="shared" si="1"/>
        <v>16</v>
      </c>
      <c r="C87" s="114" t="s">
        <v>49</v>
      </c>
      <c r="E87" s="123">
        <v>2.7211777156437904</v>
      </c>
      <c r="F87" s="123">
        <v>0</v>
      </c>
    </row>
    <row r="88" spans="1:6" x14ac:dyDescent="0.2">
      <c r="A88" s="120"/>
      <c r="E88" s="123"/>
      <c r="F88" s="122"/>
    </row>
    <row r="89" spans="1:6" x14ac:dyDescent="0.2">
      <c r="A89" s="120">
        <f>A87+1</f>
        <v>17</v>
      </c>
      <c r="C89" s="115" t="s">
        <v>50</v>
      </c>
      <c r="E89" s="127">
        <f>SUM(E77:E87)</f>
        <v>15716.821177715645</v>
      </c>
      <c r="F89" s="127">
        <f>SUM(F77:F87)</f>
        <v>116.00000000000003</v>
      </c>
    </row>
    <row r="90" spans="1:6" x14ac:dyDescent="0.2">
      <c r="A90" s="120"/>
      <c r="E90" s="123"/>
      <c r="F90" s="122"/>
    </row>
    <row r="91" spans="1:6" x14ac:dyDescent="0.2">
      <c r="A91" s="115" t="s">
        <v>26</v>
      </c>
      <c r="E91" s="123"/>
      <c r="F91" s="123"/>
    </row>
    <row r="92" spans="1:6" x14ac:dyDescent="0.2">
      <c r="A92" s="129" t="s">
        <v>27</v>
      </c>
      <c r="C92" s="114" t="s">
        <v>332</v>
      </c>
    </row>
    <row r="93" spans="1:6" ht="54.6" customHeight="1" x14ac:dyDescent="0.2">
      <c r="A93" s="130" t="s">
        <v>51</v>
      </c>
      <c r="C93" s="180" t="s">
        <v>333</v>
      </c>
      <c r="D93" s="180"/>
      <c r="E93" s="180"/>
      <c r="F93" s="180"/>
    </row>
    <row r="94" spans="1:6" ht="26.45" customHeight="1" x14ac:dyDescent="0.2">
      <c r="A94" s="130" t="s">
        <v>52</v>
      </c>
      <c r="C94" s="180" t="s">
        <v>334</v>
      </c>
      <c r="D94" s="180"/>
      <c r="E94" s="180"/>
      <c r="F94" s="180"/>
    </row>
    <row r="95" spans="1:6" ht="26.1" customHeight="1" x14ac:dyDescent="0.2">
      <c r="A95" s="130" t="s">
        <v>53</v>
      </c>
      <c r="C95" s="180" t="s">
        <v>335</v>
      </c>
      <c r="D95" s="180"/>
      <c r="E95" s="180"/>
      <c r="F95" s="180"/>
    </row>
    <row r="96" spans="1:6" x14ac:dyDescent="0.2">
      <c r="A96" s="129" t="s">
        <v>54</v>
      </c>
      <c r="C96" s="114" t="s">
        <v>336</v>
      </c>
    </row>
  </sheetData>
  <sheetProtection selectLockedCells="1"/>
  <mergeCells count="4">
    <mergeCell ref="C95:F95"/>
    <mergeCell ref="C94:F94"/>
    <mergeCell ref="C93:F93"/>
    <mergeCell ref="B38:E38"/>
  </mergeCells>
  <pageMargins left="0.7" right="0.7" top="0.75" bottom="0.75" header="0.3" footer="0.3"/>
  <pageSetup scale="93" orientation="portrait" r:id="rId1"/>
  <headerFooter>
    <oddHeader xml:space="preserve">&amp;R&amp;"Arial,Regular"&amp;10Updated: 2024-03-15
EB-2022-0200
Rate Order
Working Papers
Schedule 1
Page &amp;P of &amp;N
</oddHeader>
  </headerFooter>
  <rowBreaks count="1" manualBreakCount="1">
    <brk id="54" max="16383" man="1"/>
  </rowBreaks>
  <customProperties>
    <customPr name="EpmWorksheetKeyString_GUID" r:id="rId2"/>
  </customProperties>
  <ignoredErrors>
    <ignoredError sqref="A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53F7-86BC-4731-A6B5-99DE8162D8BD}">
  <sheetPr codeName="Sheet10">
    <tabColor theme="9" tint="0.59999389629810485"/>
    <pageSetUpPr fitToPage="1"/>
  </sheetPr>
  <dimension ref="A6:H50"/>
  <sheetViews>
    <sheetView view="pageLayout" topLeftCell="A15" zoomScaleNormal="100" workbookViewId="0">
      <selection activeCell="H34" sqref="H34"/>
    </sheetView>
  </sheetViews>
  <sheetFormatPr defaultColWidth="101.140625" defaultRowHeight="12.75" x14ac:dyDescent="0.2"/>
  <cols>
    <col min="1" max="1" width="5.85546875" style="149" bestFit="1" customWidth="1"/>
    <col min="2" max="2" width="1.140625" style="149" customWidth="1"/>
    <col min="3" max="3" width="39.42578125" style="149" customWidth="1"/>
    <col min="4" max="4" width="1.140625" style="149" customWidth="1"/>
    <col min="5" max="5" width="10.140625" style="149" customWidth="1"/>
    <col min="6" max="6" width="12.42578125" style="120" customWidth="1"/>
    <col min="7" max="7" width="10.140625" style="120" customWidth="1"/>
    <col min="8" max="8" width="11.5703125" style="120" customWidth="1"/>
    <col min="9" max="27" width="6.5703125" style="149" customWidth="1"/>
    <col min="28" max="53" width="5.5703125" style="149" customWidth="1"/>
    <col min="54" max="16384" width="101.140625" style="149"/>
  </cols>
  <sheetData>
    <row r="6" spans="1:8" s="112" customFormat="1" x14ac:dyDescent="0.2">
      <c r="A6" s="111" t="s">
        <v>288</v>
      </c>
      <c r="B6" s="111"/>
      <c r="C6" s="111"/>
      <c r="D6" s="111"/>
      <c r="E6" s="111"/>
      <c r="F6" s="113"/>
      <c r="G6" s="113"/>
      <c r="H6" s="113"/>
    </row>
    <row r="7" spans="1:8" s="112" customFormat="1" x14ac:dyDescent="0.2">
      <c r="A7" s="111" t="s">
        <v>263</v>
      </c>
      <c r="B7" s="111"/>
      <c r="C7" s="111"/>
      <c r="D7" s="111"/>
      <c r="E7" s="111"/>
      <c r="F7" s="113"/>
      <c r="G7" s="113"/>
      <c r="H7" s="113"/>
    </row>
    <row r="9" spans="1:8" s="165" customFormat="1" ht="25.5" customHeight="1" x14ac:dyDescent="0.2">
      <c r="E9" s="151" t="s">
        <v>264</v>
      </c>
      <c r="F9" s="151" t="s">
        <v>265</v>
      </c>
      <c r="G9" s="151" t="s">
        <v>266</v>
      </c>
      <c r="H9" s="151" t="s">
        <v>267</v>
      </c>
    </row>
    <row r="10" spans="1:8" s="165" customFormat="1" x14ac:dyDescent="0.2">
      <c r="E10" s="151" t="s">
        <v>103</v>
      </c>
      <c r="F10" s="151" t="s">
        <v>268</v>
      </c>
      <c r="G10" s="151" t="s">
        <v>268</v>
      </c>
      <c r="H10" s="151" t="s">
        <v>268</v>
      </c>
    </row>
    <row r="11" spans="1:8" s="118" customFormat="1" ht="25.5" x14ac:dyDescent="0.2">
      <c r="A11" s="117" t="s">
        <v>3</v>
      </c>
      <c r="C11" s="119" t="s">
        <v>101</v>
      </c>
      <c r="E11" s="117" t="s">
        <v>269</v>
      </c>
      <c r="F11" s="117" t="s">
        <v>269</v>
      </c>
      <c r="G11" s="117" t="s">
        <v>269</v>
      </c>
      <c r="H11" s="117" t="s">
        <v>269</v>
      </c>
    </row>
    <row r="12" spans="1:8" s="118" customFormat="1" ht="12.95" customHeight="1" x14ac:dyDescent="0.2">
      <c r="A12" s="151"/>
      <c r="E12" s="151" t="s">
        <v>6</v>
      </c>
      <c r="F12" s="151" t="s">
        <v>7</v>
      </c>
      <c r="G12" s="151" t="s">
        <v>148</v>
      </c>
      <c r="H12" s="151" t="s">
        <v>270</v>
      </c>
    </row>
    <row r="13" spans="1:8" ht="12.95" customHeight="1" x14ac:dyDescent="0.2">
      <c r="E13" s="120"/>
    </row>
    <row r="14" spans="1:8" x14ac:dyDescent="0.2">
      <c r="C14" s="115" t="s">
        <v>271</v>
      </c>
      <c r="E14" s="120"/>
    </row>
    <row r="16" spans="1:8" x14ac:dyDescent="0.2">
      <c r="A16" s="120">
        <v>1</v>
      </c>
      <c r="C16" s="149" t="s">
        <v>289</v>
      </c>
      <c r="E16" s="123">
        <v>9773.4</v>
      </c>
      <c r="F16" s="166">
        <v>61.85</v>
      </c>
      <c r="G16" s="166">
        <v>4.1678774142306425</v>
      </c>
      <c r="H16" s="167">
        <f>F16*G16/100</f>
        <v>2.5778321807016522</v>
      </c>
    </row>
    <row r="17" spans="1:8" x14ac:dyDescent="0.2">
      <c r="A17" s="120">
        <v>2</v>
      </c>
      <c r="C17" s="149" t="s">
        <v>273</v>
      </c>
      <c r="E17" s="123">
        <v>23.7</v>
      </c>
      <c r="F17" s="166">
        <v>0.15</v>
      </c>
      <c r="G17" s="166">
        <v>3</v>
      </c>
      <c r="H17" s="167">
        <f>F17*G17/100</f>
        <v>4.4999999999999997E-3</v>
      </c>
    </row>
    <row r="18" spans="1:8" x14ac:dyDescent="0.2">
      <c r="A18" s="120"/>
      <c r="E18" s="122"/>
    </row>
    <row r="19" spans="1:8" x14ac:dyDescent="0.2">
      <c r="A19" s="120">
        <v>3</v>
      </c>
      <c r="C19" s="149" t="s">
        <v>274</v>
      </c>
      <c r="E19" s="127">
        <f>E16+E17</f>
        <v>9797.1</v>
      </c>
      <c r="F19" s="168">
        <f>F16+F17</f>
        <v>62</v>
      </c>
      <c r="H19" s="169">
        <f>H16+H17</f>
        <v>2.5823321807016524</v>
      </c>
    </row>
    <row r="20" spans="1:8" x14ac:dyDescent="0.2">
      <c r="A20" s="120"/>
      <c r="E20" s="122"/>
    </row>
    <row r="21" spans="1:8" x14ac:dyDescent="0.2">
      <c r="A21" s="120">
        <v>4</v>
      </c>
      <c r="C21" s="115" t="s">
        <v>275</v>
      </c>
      <c r="E21" s="123">
        <v>6004.7</v>
      </c>
      <c r="F21" s="166">
        <v>38</v>
      </c>
      <c r="G21" s="166">
        <v>8.66</v>
      </c>
      <c r="H21" s="167">
        <f>F21*G21/100</f>
        <v>3.2907999999999999</v>
      </c>
    </row>
    <row r="22" spans="1:8" x14ac:dyDescent="0.2">
      <c r="A22" s="120"/>
      <c r="E22" s="122"/>
    </row>
    <row r="23" spans="1:8" ht="13.5" thickBot="1" x14ac:dyDescent="0.25">
      <c r="A23" s="120">
        <v>5</v>
      </c>
      <c r="C23" s="149" t="s">
        <v>140</v>
      </c>
      <c r="E23" s="146">
        <f>E19+E21</f>
        <v>15801.8</v>
      </c>
      <c r="F23" s="170">
        <f>F19+F21</f>
        <v>100</v>
      </c>
      <c r="H23" s="171">
        <f>H19+H21</f>
        <v>5.8731321807016528</v>
      </c>
    </row>
    <row r="24" spans="1:8" ht="13.5" thickTop="1" x14ac:dyDescent="0.2">
      <c r="A24" s="120"/>
      <c r="E24" s="122"/>
    </row>
    <row r="25" spans="1:8" x14ac:dyDescent="0.2">
      <c r="A25" s="120">
        <v>6</v>
      </c>
      <c r="C25" s="149" t="s">
        <v>30</v>
      </c>
      <c r="E25" s="123">
        <v>15801.8</v>
      </c>
    </row>
    <row r="26" spans="1:8" x14ac:dyDescent="0.2">
      <c r="A26" s="120">
        <v>7</v>
      </c>
      <c r="C26" s="149" t="s">
        <v>235</v>
      </c>
      <c r="E26" s="123">
        <f>'Utility Income'!G37</f>
        <v>789.84761716998537</v>
      </c>
    </row>
    <row r="27" spans="1:8" x14ac:dyDescent="0.2">
      <c r="A27" s="120">
        <v>8</v>
      </c>
      <c r="C27" s="149" t="s">
        <v>277</v>
      </c>
      <c r="E27" s="124">
        <f>E26/E25</f>
        <v>4.9984661062029985E-2</v>
      </c>
    </row>
    <row r="28" spans="1:8" x14ac:dyDescent="0.2">
      <c r="A28" s="120">
        <v>9</v>
      </c>
      <c r="C28" s="149" t="s">
        <v>278</v>
      </c>
      <c r="E28" s="125">
        <v>-8.7481199999999999E-3</v>
      </c>
    </row>
    <row r="29" spans="1:8" x14ac:dyDescent="0.2">
      <c r="A29" s="120">
        <v>10</v>
      </c>
      <c r="C29" s="149" t="s">
        <v>279</v>
      </c>
      <c r="E29" s="123">
        <f>E28*E25</f>
        <v>-138.23604261599999</v>
      </c>
    </row>
    <row r="30" spans="1:8" x14ac:dyDescent="0.2">
      <c r="A30" s="120">
        <v>11</v>
      </c>
      <c r="C30" s="149" t="s">
        <v>290</v>
      </c>
      <c r="E30" s="123">
        <f>E29/0.735</f>
        <v>-188.07624845714284</v>
      </c>
    </row>
    <row r="31" spans="1:8" x14ac:dyDescent="0.2">
      <c r="A31" s="120">
        <v>12</v>
      </c>
      <c r="C31" s="149" t="s">
        <v>281</v>
      </c>
      <c r="E31" s="123">
        <v>5945.3716282699997</v>
      </c>
    </row>
    <row r="32" spans="1:8" x14ac:dyDescent="0.2">
      <c r="A32" s="120">
        <v>13</v>
      </c>
      <c r="C32" s="149" t="s">
        <v>282</v>
      </c>
      <c r="E32" s="123">
        <v>6133.6</v>
      </c>
    </row>
    <row r="33" spans="1:7" x14ac:dyDescent="0.2">
      <c r="A33" s="120">
        <v>14</v>
      </c>
      <c r="C33" s="149" t="s">
        <v>283</v>
      </c>
      <c r="E33" s="123">
        <f>E31-E32+0.1</f>
        <v>-188.12837173000062</v>
      </c>
      <c r="F33" s="123"/>
    </row>
    <row r="34" spans="1:7" s="120" customFormat="1" x14ac:dyDescent="0.2">
      <c r="B34" s="149"/>
      <c r="C34" s="149"/>
      <c r="D34" s="149"/>
      <c r="E34" s="122"/>
    </row>
    <row r="35" spans="1:7" s="120" customFormat="1" x14ac:dyDescent="0.2">
      <c r="B35" s="149"/>
      <c r="C35" s="115" t="s">
        <v>275</v>
      </c>
      <c r="D35" s="149"/>
      <c r="E35" s="122"/>
    </row>
    <row r="36" spans="1:7" s="120" customFormat="1" x14ac:dyDescent="0.2">
      <c r="B36" s="149"/>
      <c r="C36" s="149"/>
      <c r="D36" s="149"/>
      <c r="E36" s="122"/>
    </row>
    <row r="37" spans="1:7" s="120" customFormat="1" x14ac:dyDescent="0.2">
      <c r="A37" s="120">
        <v>15</v>
      </c>
      <c r="B37" s="149"/>
      <c r="C37" s="149" t="s">
        <v>284</v>
      </c>
      <c r="D37" s="149"/>
      <c r="E37" s="124">
        <v>8.6599999999999996E-2</v>
      </c>
    </row>
    <row r="38" spans="1:7" s="120" customFormat="1" x14ac:dyDescent="0.2">
      <c r="A38" s="120">
        <v>16</v>
      </c>
      <c r="B38" s="149"/>
      <c r="C38" s="149" t="s">
        <v>285</v>
      </c>
      <c r="D38" s="149"/>
      <c r="E38" s="124">
        <v>6.3579999999999998E-2</v>
      </c>
    </row>
    <row r="39" spans="1:7" s="120" customFormat="1" x14ac:dyDescent="0.2">
      <c r="A39" s="120">
        <v>17</v>
      </c>
      <c r="B39" s="149"/>
      <c r="C39" s="149" t="s">
        <v>286</v>
      </c>
      <c r="D39" s="149"/>
      <c r="E39" s="125">
        <f>E38-E37</f>
        <v>-2.3019999999999999E-2</v>
      </c>
    </row>
    <row r="41" spans="1:7" s="120" customFormat="1" x14ac:dyDescent="0.2">
      <c r="A41" s="115" t="s">
        <v>337</v>
      </c>
      <c r="B41" s="149"/>
      <c r="C41" s="149"/>
      <c r="D41" s="149"/>
      <c r="E41" s="149"/>
    </row>
    <row r="42" spans="1:7" s="120" customFormat="1" ht="14.45" customHeight="1" x14ac:dyDescent="0.2">
      <c r="A42" s="163" t="s">
        <v>27</v>
      </c>
      <c r="B42" s="181" t="s">
        <v>291</v>
      </c>
      <c r="C42" s="181"/>
      <c r="D42" s="181"/>
      <c r="E42" s="181"/>
      <c r="F42" s="181"/>
      <c r="G42" s="181"/>
    </row>
    <row r="50" spans="3:3" x14ac:dyDescent="0.2">
      <c r="C50" s="147"/>
    </row>
  </sheetData>
  <sheetProtection selectLockedCells="1"/>
  <mergeCells count="1">
    <mergeCell ref="B42:G42"/>
  </mergeCells>
  <pageMargins left="0.7" right="0.7" top="0.75" bottom="0.75" header="0.3" footer="0.3"/>
  <pageSetup scale="98" orientation="portrait" r:id="rId1"/>
  <headerFooter>
    <oddHeader>&amp;R&amp;"Arial,Regular"&amp;10Updated: 2024-03-15
EB-2022-0200
Rate Order
Working Papers
Schedule 10
Page &amp;P of &amp;N</oddHead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B840-2BCB-428B-A6EA-2676A2D9FB2F}">
  <sheetPr codeName="Sheet11">
    <tabColor theme="9" tint="0.59999389629810485"/>
    <pageSetUpPr fitToPage="1"/>
  </sheetPr>
  <dimension ref="A6:H42"/>
  <sheetViews>
    <sheetView view="pageLayout" topLeftCell="A22" zoomScaleNormal="100" workbookViewId="0">
      <selection activeCell="H41" sqref="H41"/>
    </sheetView>
  </sheetViews>
  <sheetFormatPr defaultColWidth="101.140625" defaultRowHeight="12.75" x14ac:dyDescent="0.2"/>
  <cols>
    <col min="1" max="1" width="5.85546875" style="164" bestFit="1" customWidth="1"/>
    <col min="2" max="2" width="1.140625" style="164" customWidth="1"/>
    <col min="3" max="3" width="39.42578125" style="164" customWidth="1"/>
    <col min="4" max="4" width="1.140625" style="164" customWidth="1"/>
    <col min="5" max="5" width="10.140625" style="164" customWidth="1"/>
    <col min="6" max="6" width="12.42578125" style="120" customWidth="1"/>
    <col min="7" max="7" width="10.140625" style="120" customWidth="1"/>
    <col min="8" max="8" width="10.5703125" style="120" customWidth="1"/>
    <col min="9" max="27" width="6.5703125" style="164" customWidth="1"/>
    <col min="28" max="53" width="5.5703125" style="164" customWidth="1"/>
    <col min="54" max="16384" width="101.140625" style="164"/>
  </cols>
  <sheetData>
    <row r="6" spans="1:8" s="112" customFormat="1" x14ac:dyDescent="0.2">
      <c r="A6" s="111" t="s">
        <v>0</v>
      </c>
      <c r="B6" s="111"/>
      <c r="C6" s="111"/>
      <c r="D6" s="111"/>
      <c r="E6" s="111"/>
      <c r="F6" s="113"/>
      <c r="G6" s="113"/>
      <c r="H6" s="113"/>
    </row>
    <row r="7" spans="1:8" s="112" customFormat="1" x14ac:dyDescent="0.2">
      <c r="A7" s="111" t="s">
        <v>263</v>
      </c>
      <c r="B7" s="111"/>
      <c r="C7" s="111"/>
      <c r="D7" s="111"/>
      <c r="E7" s="111"/>
      <c r="F7" s="113"/>
      <c r="G7" s="113"/>
      <c r="H7" s="113"/>
    </row>
    <row r="9" spans="1:8" s="165" customFormat="1" ht="25.5" customHeight="1" x14ac:dyDescent="0.2">
      <c r="E9" s="151" t="s">
        <v>264</v>
      </c>
      <c r="F9" s="151" t="s">
        <v>265</v>
      </c>
      <c r="G9" s="151" t="s">
        <v>266</v>
      </c>
      <c r="H9" s="151" t="s">
        <v>267</v>
      </c>
    </row>
    <row r="10" spans="1:8" s="165" customFormat="1" x14ac:dyDescent="0.2">
      <c r="E10" s="151" t="s">
        <v>103</v>
      </c>
      <c r="F10" s="151" t="s">
        <v>268</v>
      </c>
      <c r="G10" s="151" t="s">
        <v>268</v>
      </c>
      <c r="H10" s="151" t="s">
        <v>268</v>
      </c>
    </row>
    <row r="11" spans="1:8" s="118" customFormat="1" ht="25.5" x14ac:dyDescent="0.2">
      <c r="A11" s="117" t="s">
        <v>3</v>
      </c>
      <c r="C11" s="119" t="s">
        <v>101</v>
      </c>
      <c r="E11" s="117" t="s">
        <v>269</v>
      </c>
      <c r="F11" s="117" t="s">
        <v>269</v>
      </c>
      <c r="G11" s="117" t="s">
        <v>269</v>
      </c>
      <c r="H11" s="117" t="s">
        <v>269</v>
      </c>
    </row>
    <row r="12" spans="1:8" s="118" customFormat="1" ht="12.95" customHeight="1" x14ac:dyDescent="0.2">
      <c r="A12" s="151"/>
      <c r="E12" s="151" t="s">
        <v>6</v>
      </c>
      <c r="F12" s="151" t="s">
        <v>7</v>
      </c>
      <c r="G12" s="151" t="s">
        <v>148</v>
      </c>
      <c r="H12" s="151" t="s">
        <v>270</v>
      </c>
    </row>
    <row r="13" spans="1:8" ht="12.95" customHeight="1" x14ac:dyDescent="0.2">
      <c r="E13" s="120"/>
    </row>
    <row r="14" spans="1:8" x14ac:dyDescent="0.2">
      <c r="C14" s="115" t="s">
        <v>271</v>
      </c>
      <c r="E14" s="120"/>
    </row>
    <row r="16" spans="1:8" x14ac:dyDescent="0.2">
      <c r="A16" s="120">
        <v>1</v>
      </c>
      <c r="C16" s="164" t="s">
        <v>289</v>
      </c>
      <c r="E16" s="123">
        <f>E23*0.6185</f>
        <v>9720.8128867101732</v>
      </c>
      <c r="F16" s="166">
        <f>'Capital Structure Settlement Ag'!F16</f>
        <v>61.85</v>
      </c>
      <c r="G16" s="166">
        <v>4.1678774142306398</v>
      </c>
      <c r="H16" s="167">
        <f>F16*G16/100</f>
        <v>2.5778321807016509</v>
      </c>
    </row>
    <row r="17" spans="1:8" x14ac:dyDescent="0.2">
      <c r="A17" s="120">
        <v>2</v>
      </c>
      <c r="C17" s="164" t="s">
        <v>273</v>
      </c>
      <c r="E17" s="123">
        <f>E23*0.0015</f>
        <v>23.575132304066706</v>
      </c>
      <c r="F17" s="166">
        <f>'Capital Structure Settlement Ag'!F17</f>
        <v>0.15</v>
      </c>
      <c r="G17" s="166">
        <v>3</v>
      </c>
      <c r="H17" s="167">
        <f>F17*G17/100</f>
        <v>4.4999999999999997E-3</v>
      </c>
    </row>
    <row r="18" spans="1:8" x14ac:dyDescent="0.2">
      <c r="A18" s="120"/>
      <c r="E18" s="122"/>
    </row>
    <row r="19" spans="1:8" x14ac:dyDescent="0.2">
      <c r="A19" s="120">
        <v>3</v>
      </c>
      <c r="C19" s="164" t="s">
        <v>274</v>
      </c>
      <c r="E19" s="127">
        <f>E16+E17</f>
        <v>9744.388019014239</v>
      </c>
      <c r="F19" s="168">
        <f>F16+F17</f>
        <v>62</v>
      </c>
      <c r="H19" s="169">
        <f>H16+H17</f>
        <v>2.582332180701651</v>
      </c>
    </row>
    <row r="20" spans="1:8" x14ac:dyDescent="0.2">
      <c r="A20" s="120"/>
      <c r="E20" s="122"/>
    </row>
    <row r="21" spans="1:8" x14ac:dyDescent="0.2">
      <c r="A21" s="120">
        <v>4</v>
      </c>
      <c r="C21" s="115" t="s">
        <v>275</v>
      </c>
      <c r="E21" s="123">
        <f>E23*0.38</f>
        <v>5972.3668503635654</v>
      </c>
      <c r="F21" s="166">
        <v>38</v>
      </c>
      <c r="G21" s="166">
        <v>9.2100000000000009</v>
      </c>
      <c r="H21" s="167">
        <f>F21*G21/100</f>
        <v>3.4998</v>
      </c>
    </row>
    <row r="22" spans="1:8" x14ac:dyDescent="0.2">
      <c r="A22" s="120"/>
      <c r="E22" s="122"/>
    </row>
    <row r="23" spans="1:8" ht="13.5" thickBot="1" x14ac:dyDescent="0.25">
      <c r="A23" s="120">
        <v>5</v>
      </c>
      <c r="C23" s="164" t="s">
        <v>140</v>
      </c>
      <c r="E23" s="146">
        <f>'2024 Rate Base'!I31</f>
        <v>15716.754869377804</v>
      </c>
      <c r="F23" s="170">
        <f>F19+F21</f>
        <v>100</v>
      </c>
      <c r="H23" s="171">
        <f>H19+H21</f>
        <v>6.0821321807016506</v>
      </c>
    </row>
    <row r="24" spans="1:8" ht="13.5" thickTop="1" x14ac:dyDescent="0.2">
      <c r="A24" s="120"/>
      <c r="E24" s="122"/>
    </row>
    <row r="25" spans="1:8" x14ac:dyDescent="0.2">
      <c r="A25" s="120">
        <v>6</v>
      </c>
      <c r="C25" s="164" t="s">
        <v>30</v>
      </c>
      <c r="E25" s="123">
        <f>E23</f>
        <v>15716.754869377804</v>
      </c>
    </row>
    <row r="26" spans="1:8" x14ac:dyDescent="0.2">
      <c r="A26" s="120">
        <v>7</v>
      </c>
      <c r="C26" s="164" t="s">
        <v>276</v>
      </c>
      <c r="E26" s="123">
        <f>'Utility Income'!I37</f>
        <v>870.74617294147765</v>
      </c>
    </row>
    <row r="27" spans="1:8" x14ac:dyDescent="0.2">
      <c r="A27" s="120">
        <v>8</v>
      </c>
      <c r="C27" s="164" t="s">
        <v>277</v>
      </c>
      <c r="E27" s="124">
        <f>E26/E25</f>
        <v>5.5402414822796606E-2</v>
      </c>
    </row>
    <row r="28" spans="1:8" x14ac:dyDescent="0.2">
      <c r="A28" s="120">
        <v>9</v>
      </c>
      <c r="C28" s="164" t="s">
        <v>278</v>
      </c>
      <c r="E28" s="125">
        <v>-5.4246839227177898E-3</v>
      </c>
    </row>
    <row r="29" spans="1:8" x14ac:dyDescent="0.2">
      <c r="A29" s="120">
        <v>10</v>
      </c>
      <c r="C29" s="164" t="s">
        <v>279</v>
      </c>
      <c r="E29" s="123">
        <f>E28*E25</f>
        <v>-85.258427457210317</v>
      </c>
    </row>
    <row r="30" spans="1:8" x14ac:dyDescent="0.2">
      <c r="A30" s="120">
        <v>11</v>
      </c>
      <c r="C30" s="164" t="s">
        <v>290</v>
      </c>
      <c r="E30" s="123">
        <f>E29/0.735</f>
        <v>-115.99786048600043</v>
      </c>
    </row>
    <row r="31" spans="1:8" x14ac:dyDescent="0.2">
      <c r="A31" s="120">
        <v>12</v>
      </c>
      <c r="C31" s="164" t="s">
        <v>281</v>
      </c>
      <c r="E31" s="123">
        <f>'RR and Deficiency'!I52</f>
        <v>5945.44237118</v>
      </c>
    </row>
    <row r="32" spans="1:8" x14ac:dyDescent="0.2">
      <c r="A32" s="120">
        <v>13</v>
      </c>
      <c r="C32" s="164" t="s">
        <v>282</v>
      </c>
      <c r="E32" s="123">
        <f>'RR and Deficiency'!I44</f>
        <v>6061.418473039228</v>
      </c>
    </row>
    <row r="33" spans="1:6" x14ac:dyDescent="0.2">
      <c r="A33" s="120">
        <v>14</v>
      </c>
      <c r="C33" s="164" t="s">
        <v>292</v>
      </c>
      <c r="E33" s="123">
        <f>E31-E32</f>
        <v>-115.97610185922804</v>
      </c>
      <c r="F33" s="173"/>
    </row>
    <row r="34" spans="1:6" s="120" customFormat="1" x14ac:dyDescent="0.2">
      <c r="B34" s="164"/>
      <c r="C34" s="164"/>
      <c r="D34" s="164"/>
      <c r="E34" s="122"/>
    </row>
    <row r="35" spans="1:6" s="120" customFormat="1" x14ac:dyDescent="0.2">
      <c r="B35" s="164"/>
      <c r="C35" s="115" t="s">
        <v>275</v>
      </c>
      <c r="D35" s="164"/>
      <c r="E35" s="122"/>
    </row>
    <row r="36" spans="1:6" s="120" customFormat="1" x14ac:dyDescent="0.2">
      <c r="B36" s="164"/>
      <c r="C36" s="164"/>
      <c r="D36" s="164"/>
      <c r="E36" s="122"/>
    </row>
    <row r="37" spans="1:6" s="120" customFormat="1" x14ac:dyDescent="0.2">
      <c r="A37" s="120">
        <v>15</v>
      </c>
      <c r="B37" s="164"/>
      <c r="C37" s="164" t="s">
        <v>284</v>
      </c>
      <c r="D37" s="164"/>
      <c r="E37" s="124">
        <v>9.2100000000000001E-2</v>
      </c>
    </row>
    <row r="38" spans="1:6" s="120" customFormat="1" x14ac:dyDescent="0.2">
      <c r="A38" s="120">
        <v>16</v>
      </c>
      <c r="B38" s="164"/>
      <c r="C38" s="164" t="s">
        <v>285</v>
      </c>
      <c r="D38" s="164"/>
      <c r="E38" s="124">
        <v>7.7824515992847898E-2</v>
      </c>
    </row>
    <row r="39" spans="1:6" s="120" customFormat="1" x14ac:dyDescent="0.2">
      <c r="A39" s="120">
        <v>17</v>
      </c>
      <c r="B39" s="164"/>
      <c r="C39" s="164" t="s">
        <v>286</v>
      </c>
      <c r="D39" s="164"/>
      <c r="E39" s="125">
        <f>E38-E37</f>
        <v>-1.4275484007152103E-2</v>
      </c>
    </row>
    <row r="41" spans="1:6" s="120" customFormat="1" x14ac:dyDescent="0.2">
      <c r="A41" s="115" t="s">
        <v>337</v>
      </c>
      <c r="B41" s="164"/>
      <c r="C41" s="164"/>
      <c r="D41" s="164"/>
      <c r="E41" s="164"/>
    </row>
    <row r="42" spans="1:6" s="120" customFormat="1" ht="14.45" customHeight="1" x14ac:dyDescent="0.2">
      <c r="A42" s="163" t="s">
        <v>27</v>
      </c>
      <c r="B42" s="181" t="s">
        <v>28</v>
      </c>
      <c r="C42" s="181"/>
      <c r="D42" s="181"/>
      <c r="E42" s="181"/>
      <c r="F42" s="181"/>
    </row>
  </sheetData>
  <sheetProtection selectLockedCells="1"/>
  <mergeCells count="1">
    <mergeCell ref="B42:F42"/>
  </mergeCells>
  <pageMargins left="0.7" right="0.7" top="0.75" bottom="0.75" header="0.3" footer="0.3"/>
  <pageSetup scale="99" orientation="portrait" r:id="rId1"/>
  <headerFooter>
    <oddHeader>&amp;R&amp;"Arial,Regular"&amp;10Updated: 2024-03-15
EB-2022-0200
Rate Order
Working Papers
Schedule 11
Page &amp;P of &amp;N</oddHeader>
  </headerFooter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AE80-6EB5-4722-8E80-319BACB3A8F5}">
  <sheetPr codeName="Sheet12">
    <tabColor theme="9" tint="0.59999389629810485"/>
    <pageSetUpPr fitToPage="1"/>
  </sheetPr>
  <dimension ref="A6:I57"/>
  <sheetViews>
    <sheetView view="pageLayout" topLeftCell="A31" zoomScaleNormal="120" workbookViewId="0">
      <selection activeCell="I50" sqref="I50"/>
    </sheetView>
  </sheetViews>
  <sheetFormatPr defaultColWidth="101.140625" defaultRowHeight="12.75" x14ac:dyDescent="0.2"/>
  <cols>
    <col min="1" max="1" width="5.85546875" style="172" bestFit="1" customWidth="1"/>
    <col min="2" max="2" width="1.140625" style="172" customWidth="1"/>
    <col min="3" max="3" width="50.28515625" style="172" customWidth="1"/>
    <col min="4" max="4" width="1.140625" style="172" customWidth="1"/>
    <col min="5" max="5" width="34.85546875" style="118" hidden="1" customWidth="1"/>
    <col min="6" max="6" width="1.140625" style="172" customWidth="1"/>
    <col min="7" max="9" width="13.85546875" style="172" customWidth="1"/>
    <col min="10" max="16384" width="101.140625" style="172"/>
  </cols>
  <sheetData>
    <row r="6" spans="1:9" s="112" customFormat="1" x14ac:dyDescent="0.2">
      <c r="A6" s="111" t="s">
        <v>0</v>
      </c>
      <c r="B6" s="113"/>
      <c r="C6" s="113"/>
      <c r="D6" s="113"/>
      <c r="E6" s="175"/>
      <c r="F6" s="113"/>
      <c r="G6" s="113"/>
      <c r="H6" s="113"/>
      <c r="I6" s="113"/>
    </row>
    <row r="7" spans="1:9" x14ac:dyDescent="0.2">
      <c r="A7" s="186" t="s">
        <v>293</v>
      </c>
      <c r="B7" s="186"/>
      <c r="C7" s="186"/>
      <c r="D7" s="186"/>
      <c r="E7" s="186"/>
      <c r="F7" s="186"/>
      <c r="G7" s="186"/>
      <c r="H7" s="186"/>
      <c r="I7" s="186"/>
    </row>
    <row r="8" spans="1:9" s="112" customFormat="1" x14ac:dyDescent="0.2">
      <c r="A8" s="111"/>
      <c r="B8" s="111"/>
      <c r="C8" s="111"/>
      <c r="D8" s="111"/>
      <c r="E8" s="176"/>
      <c r="F8" s="111"/>
      <c r="G8" s="111"/>
      <c r="H8" s="111"/>
      <c r="I8" s="111"/>
    </row>
    <row r="9" spans="1:9" s="118" customFormat="1" ht="25.5" x14ac:dyDescent="0.2">
      <c r="A9" s="117" t="s">
        <v>3</v>
      </c>
      <c r="C9" s="119" t="s">
        <v>4</v>
      </c>
      <c r="E9" s="117" t="s">
        <v>5</v>
      </c>
      <c r="G9" s="117" t="s">
        <v>294</v>
      </c>
      <c r="H9" s="117" t="s">
        <v>295</v>
      </c>
      <c r="I9" s="117" t="s">
        <v>140</v>
      </c>
    </row>
    <row r="10" spans="1:9" x14ac:dyDescent="0.2">
      <c r="E10" s="151"/>
      <c r="G10" s="120" t="s">
        <v>6</v>
      </c>
      <c r="H10" s="120" t="s">
        <v>7</v>
      </c>
      <c r="I10" s="120" t="s">
        <v>79</v>
      </c>
    </row>
    <row r="11" spans="1:9" x14ac:dyDescent="0.2">
      <c r="C11" s="115" t="s">
        <v>296</v>
      </c>
      <c r="D11" s="115"/>
      <c r="E11" s="177"/>
      <c r="G11" s="120"/>
      <c r="H11" s="120"/>
      <c r="I11" s="120"/>
    </row>
    <row r="12" spans="1:9" x14ac:dyDescent="0.2">
      <c r="E12" s="151"/>
    </row>
    <row r="13" spans="1:9" x14ac:dyDescent="0.2">
      <c r="A13" s="120">
        <v>1</v>
      </c>
      <c r="C13" s="172" t="s">
        <v>30</v>
      </c>
      <c r="E13" s="151"/>
      <c r="G13" s="123">
        <v>15716.8</v>
      </c>
      <c r="H13" s="120"/>
      <c r="I13" s="123">
        <f>G13</f>
        <v>15716.8</v>
      </c>
    </row>
    <row r="14" spans="1:9" x14ac:dyDescent="0.2">
      <c r="A14" s="120">
        <v>2</v>
      </c>
      <c r="C14" s="172" t="s">
        <v>297</v>
      </c>
      <c r="E14" s="151"/>
      <c r="G14" s="70">
        <v>6.0819999999999999E-2</v>
      </c>
      <c r="H14" s="120"/>
      <c r="I14" s="70">
        <f>G14</f>
        <v>6.0819999999999999E-2</v>
      </c>
    </row>
    <row r="15" spans="1:9" x14ac:dyDescent="0.2">
      <c r="A15" s="120">
        <v>3</v>
      </c>
      <c r="C15" s="172" t="s">
        <v>298</v>
      </c>
      <c r="E15" s="151"/>
      <c r="G15" s="127">
        <v>955.9</v>
      </c>
      <c r="H15" s="120"/>
      <c r="I15" s="127">
        <f>G15</f>
        <v>955.9</v>
      </c>
    </row>
    <row r="16" spans="1:9" x14ac:dyDescent="0.2">
      <c r="A16" s="120"/>
      <c r="E16" s="151"/>
      <c r="G16" s="122"/>
      <c r="H16" s="122"/>
      <c r="I16" s="122"/>
    </row>
    <row r="17" spans="1:9" x14ac:dyDescent="0.2">
      <c r="A17" s="120"/>
      <c r="C17" s="115" t="s">
        <v>233</v>
      </c>
      <c r="E17" s="151"/>
      <c r="G17" s="122"/>
      <c r="H17" s="122"/>
      <c r="I17" s="122"/>
    </row>
    <row r="18" spans="1:9" x14ac:dyDescent="0.2">
      <c r="A18" s="120"/>
      <c r="E18" s="151"/>
      <c r="G18" s="122"/>
      <c r="H18" s="122"/>
      <c r="I18" s="122"/>
    </row>
    <row r="19" spans="1:9" x14ac:dyDescent="0.2">
      <c r="A19" s="120">
        <v>4</v>
      </c>
      <c r="C19" s="172" t="s">
        <v>299</v>
      </c>
      <c r="E19" s="151"/>
      <c r="G19" s="123">
        <v>14.701929</v>
      </c>
      <c r="H19" s="123">
        <f>'RR and Deficiency Gas Supply'!K13</f>
        <v>3117.0240076999999</v>
      </c>
      <c r="I19" s="123">
        <f>H19+G19</f>
        <v>3131.7259366999997</v>
      </c>
    </row>
    <row r="20" spans="1:9" x14ac:dyDescent="0.2">
      <c r="A20" s="120">
        <v>5</v>
      </c>
      <c r="C20" s="172" t="s">
        <v>300</v>
      </c>
      <c r="E20" s="151"/>
      <c r="G20" s="123">
        <f>'RR and Deficiency Delivery'!K20</f>
        <v>1053.9917479600003</v>
      </c>
      <c r="H20" s="139" t="s">
        <v>138</v>
      </c>
      <c r="I20" s="123">
        <f>G20</f>
        <v>1053.9917479600003</v>
      </c>
    </row>
    <row r="21" spans="1:9" x14ac:dyDescent="0.2">
      <c r="A21" s="120">
        <v>6</v>
      </c>
      <c r="C21" s="172" t="s">
        <v>241</v>
      </c>
      <c r="E21" s="151"/>
      <c r="G21" s="123">
        <f>'RR and Deficiency Delivery'!K21</f>
        <v>730.15800000000002</v>
      </c>
      <c r="H21" s="139" t="s">
        <v>138</v>
      </c>
      <c r="I21" s="123">
        <f>G21</f>
        <v>730.15800000000002</v>
      </c>
    </row>
    <row r="22" spans="1:9" x14ac:dyDescent="0.2">
      <c r="A22" s="120">
        <v>7</v>
      </c>
      <c r="C22" s="172" t="s">
        <v>230</v>
      </c>
      <c r="E22" s="151"/>
      <c r="G22" s="123">
        <v>4</v>
      </c>
      <c r="H22" s="139" t="s">
        <v>138</v>
      </c>
      <c r="I22" s="123">
        <f>G22</f>
        <v>4</v>
      </c>
    </row>
    <row r="23" spans="1:9" x14ac:dyDescent="0.2">
      <c r="A23" s="120">
        <v>8</v>
      </c>
      <c r="C23" s="172" t="s">
        <v>232</v>
      </c>
      <c r="E23" s="151"/>
      <c r="G23" s="123">
        <f>'RR and Deficiency Delivery'!K23</f>
        <v>125.583</v>
      </c>
      <c r="H23" s="139" t="s">
        <v>138</v>
      </c>
      <c r="I23" s="123">
        <f>G23</f>
        <v>125.583</v>
      </c>
    </row>
    <row r="24" spans="1:9" x14ac:dyDescent="0.2">
      <c r="A24" s="120">
        <v>9</v>
      </c>
      <c r="C24" s="172" t="s">
        <v>140</v>
      </c>
      <c r="E24" s="151"/>
      <c r="G24" s="127">
        <f>SUM(G19:G23)</f>
        <v>1928.4346769600006</v>
      </c>
      <c r="H24" s="127">
        <f>SUM(H19:H23)</f>
        <v>3117.0240076999999</v>
      </c>
      <c r="I24" s="127">
        <f>SUM(I19:I23)</f>
        <v>5045.4586846599996</v>
      </c>
    </row>
    <row r="25" spans="1:9" x14ac:dyDescent="0.2">
      <c r="A25" s="120"/>
      <c r="E25" s="151"/>
      <c r="G25" s="122"/>
      <c r="H25" s="122"/>
      <c r="I25" s="122"/>
    </row>
    <row r="26" spans="1:9" x14ac:dyDescent="0.2">
      <c r="A26" s="120"/>
      <c r="C26" s="115" t="s">
        <v>301</v>
      </c>
      <c r="E26" s="151"/>
      <c r="G26" s="122"/>
      <c r="H26" s="122"/>
      <c r="I26" s="122"/>
    </row>
    <row r="27" spans="1:9" x14ac:dyDescent="0.2">
      <c r="A27" s="120"/>
      <c r="E27" s="151"/>
      <c r="G27" s="122"/>
      <c r="H27" s="122"/>
      <c r="I27" s="122"/>
    </row>
    <row r="28" spans="1:9" x14ac:dyDescent="0.2">
      <c r="A28" s="120">
        <v>10</v>
      </c>
      <c r="C28" s="172" t="s">
        <v>222</v>
      </c>
      <c r="E28" s="151"/>
      <c r="G28" s="123">
        <v>-64.279665700703788</v>
      </c>
      <c r="H28" s="139" t="s">
        <v>138</v>
      </c>
      <c r="I28" s="123">
        <f>G28</f>
        <v>-64.279665700703788</v>
      </c>
    </row>
    <row r="29" spans="1:9" x14ac:dyDescent="0.2">
      <c r="A29" s="120">
        <v>11</v>
      </c>
      <c r="C29" s="172" t="s">
        <v>224</v>
      </c>
      <c r="E29" s="151"/>
      <c r="G29" s="139" t="s">
        <v>138</v>
      </c>
      <c r="H29" s="139" t="s">
        <v>138</v>
      </c>
      <c r="I29" s="139" t="s">
        <v>138</v>
      </c>
    </row>
    <row r="30" spans="1:9" x14ac:dyDescent="0.2">
      <c r="A30" s="120">
        <v>12</v>
      </c>
      <c r="C30" s="172" t="s">
        <v>140</v>
      </c>
      <c r="E30" s="151"/>
      <c r="G30" s="127">
        <v>-64.279665700703788</v>
      </c>
      <c r="H30" s="178" t="s">
        <v>138</v>
      </c>
      <c r="I30" s="127">
        <f>SUM(I28:I29)</f>
        <v>-64.279665700703788</v>
      </c>
    </row>
    <row r="31" spans="1:9" x14ac:dyDescent="0.2">
      <c r="A31" s="120"/>
      <c r="E31" s="179"/>
      <c r="G31" s="122"/>
      <c r="H31" s="122"/>
      <c r="I31" s="122"/>
    </row>
    <row r="32" spans="1:9" x14ac:dyDescent="0.2">
      <c r="A32" s="120"/>
      <c r="C32" s="115" t="s">
        <v>302</v>
      </c>
      <c r="E32" s="179"/>
      <c r="G32" s="122"/>
      <c r="H32" s="122"/>
      <c r="I32" s="122"/>
    </row>
    <row r="33" spans="1:9" x14ac:dyDescent="0.2">
      <c r="A33" s="120"/>
      <c r="C33" s="115"/>
      <c r="E33" s="179"/>
      <c r="G33" s="122"/>
      <c r="H33" s="122"/>
      <c r="I33" s="122"/>
    </row>
    <row r="34" spans="1:9" x14ac:dyDescent="0.2">
      <c r="A34" s="120">
        <v>13</v>
      </c>
      <c r="C34" s="172" t="s">
        <v>303</v>
      </c>
      <c r="E34" s="151"/>
      <c r="G34" s="123">
        <f>201.1-H34</f>
        <v>202.29999999999998</v>
      </c>
      <c r="H34" s="123">
        <v>-1.2</v>
      </c>
      <c r="I34" s="123">
        <v>201.11717927922666</v>
      </c>
    </row>
    <row r="35" spans="1:9" x14ac:dyDescent="0.2">
      <c r="A35" s="120">
        <v>14</v>
      </c>
      <c r="C35" s="172" t="s">
        <v>304</v>
      </c>
      <c r="E35" s="151"/>
      <c r="G35" s="123">
        <v>-107.6</v>
      </c>
      <c r="H35" s="139" t="s">
        <v>138</v>
      </c>
      <c r="I35" s="123">
        <f>G35</f>
        <v>-107.6</v>
      </c>
    </row>
    <row r="36" spans="1:9" x14ac:dyDescent="0.2">
      <c r="A36" s="120">
        <v>15</v>
      </c>
      <c r="C36" s="172" t="s">
        <v>140</v>
      </c>
      <c r="E36" s="151"/>
      <c r="G36" s="127">
        <f>SUM(G34:G35)</f>
        <v>94.699999999999989</v>
      </c>
      <c r="H36" s="127">
        <f>H34</f>
        <v>-1.2</v>
      </c>
      <c r="I36" s="127">
        <f>H36+G36+0.1</f>
        <v>93.59999999999998</v>
      </c>
    </row>
    <row r="37" spans="1:9" x14ac:dyDescent="0.2">
      <c r="A37" s="120"/>
      <c r="C37" s="115"/>
      <c r="E37" s="151"/>
      <c r="G37" s="122"/>
      <c r="H37" s="122"/>
      <c r="I37" s="122"/>
    </row>
    <row r="38" spans="1:9" x14ac:dyDescent="0.2">
      <c r="A38" s="120"/>
      <c r="C38" s="115" t="s">
        <v>305</v>
      </c>
      <c r="E38" s="151"/>
      <c r="G38" s="122"/>
      <c r="H38" s="122"/>
      <c r="I38" s="122"/>
    </row>
    <row r="39" spans="1:9" x14ac:dyDescent="0.2">
      <c r="A39" s="120"/>
      <c r="C39" s="115"/>
      <c r="E39" s="151"/>
      <c r="G39" s="123"/>
      <c r="H39" s="123"/>
      <c r="I39" s="123"/>
    </row>
    <row r="40" spans="1:9" x14ac:dyDescent="0.2">
      <c r="A40" s="120">
        <v>16</v>
      </c>
      <c r="C40" s="172" t="s">
        <v>306</v>
      </c>
      <c r="E40" s="151"/>
      <c r="G40" s="123">
        <f>I40-H40</f>
        <v>-111.59793992427416</v>
      </c>
      <c r="H40" s="123">
        <v>-4.4000000000000004</v>
      </c>
      <c r="I40" s="123">
        <v>-115.99793992427416</v>
      </c>
    </row>
    <row r="41" spans="1:9" x14ac:dyDescent="0.2">
      <c r="A41" s="120">
        <v>17</v>
      </c>
      <c r="C41" s="172" t="s">
        <v>279</v>
      </c>
      <c r="E41" s="151"/>
      <c r="G41" s="123">
        <f>I41-H41</f>
        <v>-82.058485844341504</v>
      </c>
      <c r="H41" s="123">
        <v>-3.2</v>
      </c>
      <c r="I41" s="123">
        <v>-85.258485844341507</v>
      </c>
    </row>
    <row r="42" spans="1:9" x14ac:dyDescent="0.2">
      <c r="A42" s="120">
        <v>18</v>
      </c>
      <c r="C42" s="172" t="s">
        <v>140</v>
      </c>
      <c r="E42" s="151"/>
      <c r="G42" s="127">
        <f>G41-G40</f>
        <v>29.539454079932653</v>
      </c>
      <c r="H42" s="127">
        <f>H41-H40</f>
        <v>1.2000000000000002</v>
      </c>
      <c r="I42" s="127">
        <f>H42+G42</f>
        <v>30.739454079932653</v>
      </c>
    </row>
    <row r="43" spans="1:9" x14ac:dyDescent="0.2">
      <c r="A43" s="120"/>
      <c r="C43" s="115"/>
      <c r="E43" s="151"/>
      <c r="G43" s="123"/>
      <c r="H43" s="123"/>
      <c r="I43" s="123"/>
    </row>
    <row r="44" spans="1:9" ht="13.5" thickBot="1" x14ac:dyDescent="0.25">
      <c r="A44" s="120">
        <v>19</v>
      </c>
      <c r="C44" s="172" t="s">
        <v>282</v>
      </c>
      <c r="E44" s="151"/>
      <c r="G44" s="146">
        <f>G15+G24+G30+G36+G42</f>
        <v>2944.2944653392292</v>
      </c>
      <c r="H44" s="146">
        <f>H15+H24+H36+H42</f>
        <v>3117.0240076999999</v>
      </c>
      <c r="I44" s="146">
        <f>I15+I24+I30+I36+I42</f>
        <v>6061.418473039228</v>
      </c>
    </row>
    <row r="45" spans="1:9" ht="13.5" thickTop="1" x14ac:dyDescent="0.2">
      <c r="A45" s="120"/>
      <c r="C45" s="115"/>
      <c r="E45" s="151"/>
      <c r="G45" s="123"/>
      <c r="H45" s="123"/>
      <c r="I45" s="123"/>
    </row>
    <row r="46" spans="1:9" x14ac:dyDescent="0.2">
      <c r="A46" s="120"/>
      <c r="E46" s="151"/>
      <c r="G46" s="123"/>
      <c r="H46" s="123"/>
      <c r="I46" s="123"/>
    </row>
    <row r="47" spans="1:9" x14ac:dyDescent="0.2">
      <c r="A47" s="120">
        <v>20</v>
      </c>
      <c r="C47" s="115" t="s">
        <v>307</v>
      </c>
      <c r="E47" s="151"/>
      <c r="G47" s="123"/>
      <c r="H47" s="123"/>
      <c r="I47" s="123"/>
    </row>
    <row r="48" spans="1:9" x14ac:dyDescent="0.2">
      <c r="A48" s="120"/>
      <c r="E48" s="151"/>
      <c r="G48" s="123"/>
      <c r="H48" s="123"/>
      <c r="I48" s="123"/>
    </row>
    <row r="49" spans="1:9" x14ac:dyDescent="0.2">
      <c r="A49" s="120">
        <v>21</v>
      </c>
      <c r="C49" s="172" t="s">
        <v>308</v>
      </c>
      <c r="D49" s="115"/>
      <c r="E49" s="151"/>
      <c r="G49" s="123">
        <v>2670.1097329999998</v>
      </c>
      <c r="H49" s="123">
        <v>3110.0512610000001</v>
      </c>
      <c r="I49" s="123">
        <f>H49+G49</f>
        <v>5780.1609939999998</v>
      </c>
    </row>
    <row r="50" spans="1:9" x14ac:dyDescent="0.2">
      <c r="A50" s="120">
        <v>22</v>
      </c>
      <c r="C50" s="172" t="s">
        <v>309</v>
      </c>
      <c r="E50" s="151"/>
      <c r="G50" s="123">
        <v>162.64238709</v>
      </c>
      <c r="H50" s="123">
        <v>2.53899009</v>
      </c>
      <c r="I50" s="123">
        <f>H50+G50</f>
        <v>165.18137718</v>
      </c>
    </row>
    <row r="51" spans="1:9" x14ac:dyDescent="0.2">
      <c r="A51" s="120"/>
      <c r="E51" s="179"/>
      <c r="G51" s="123"/>
      <c r="H51" s="123"/>
      <c r="I51" s="123"/>
    </row>
    <row r="52" spans="1:9" ht="13.5" thickBot="1" x14ac:dyDescent="0.25">
      <c r="A52" s="120">
        <v>23</v>
      </c>
      <c r="C52" s="172" t="s">
        <v>310</v>
      </c>
      <c r="E52" s="179"/>
      <c r="G52" s="146">
        <f>SUM(G49:G51)</f>
        <v>2832.7521200899996</v>
      </c>
      <c r="H52" s="146">
        <f>SUM(H49:H51)</f>
        <v>3112.59025109</v>
      </c>
      <c r="I52" s="146">
        <f>SUM(I49:I51)+0.1</f>
        <v>5945.44237118</v>
      </c>
    </row>
    <row r="53" spans="1:9" ht="13.5" thickTop="1" x14ac:dyDescent="0.2">
      <c r="A53" s="120"/>
      <c r="E53" s="151"/>
      <c r="G53" s="122"/>
      <c r="H53" s="122"/>
      <c r="I53" s="122"/>
    </row>
    <row r="54" spans="1:9" ht="13.5" thickBot="1" x14ac:dyDescent="0.25">
      <c r="A54" s="120">
        <v>24</v>
      </c>
      <c r="C54" s="172" t="s">
        <v>311</v>
      </c>
      <c r="E54" s="151"/>
      <c r="G54" s="146">
        <f>G52-G44-0.1</f>
        <v>-111.64234524922958</v>
      </c>
      <c r="H54" s="146">
        <f>H52-H44</f>
        <v>-4.4337566099998185</v>
      </c>
      <c r="I54" s="146">
        <f>I52-I44</f>
        <v>-115.97610185922804</v>
      </c>
    </row>
    <row r="55" spans="1:9" ht="13.5" thickTop="1" x14ac:dyDescent="0.2">
      <c r="A55" s="120"/>
      <c r="E55" s="151"/>
      <c r="G55" s="122"/>
      <c r="H55" s="122"/>
      <c r="I55" s="122"/>
    </row>
    <row r="56" spans="1:9" x14ac:dyDescent="0.2">
      <c r="A56" s="115" t="s">
        <v>337</v>
      </c>
    </row>
    <row r="57" spans="1:9" ht="14.45" customHeight="1" x14ac:dyDescent="0.2">
      <c r="A57" s="163" t="s">
        <v>27</v>
      </c>
      <c r="B57" s="181" t="s">
        <v>28</v>
      </c>
      <c r="C57" s="181"/>
      <c r="D57" s="181"/>
      <c r="E57" s="181"/>
      <c r="F57" s="181"/>
      <c r="G57" s="181"/>
    </row>
  </sheetData>
  <sheetProtection selectLockedCells="1"/>
  <mergeCells count="2">
    <mergeCell ref="A7:I7"/>
    <mergeCell ref="B57:G57"/>
  </mergeCells>
  <pageMargins left="0.7" right="0.7" top="0.75" bottom="0.75" header="0.3" footer="0.3"/>
  <pageSetup scale="89" orientation="portrait" r:id="rId1"/>
  <headerFooter>
    <oddHeader>&amp;R&amp;"Arial,Regular"&amp;10Updated: 2024-03-15
EB-2022-0200
Rate Order
Working Papers
Schedule 12
Page 1 of 1</oddHeader>
  </headerFooter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FBAF-5980-4C5F-8A23-0E2342344D8A}">
  <sheetPr codeName="Sheet13">
    <tabColor theme="9" tint="0.59999389629810485"/>
    <pageSetUpPr fitToPage="1"/>
  </sheetPr>
  <dimension ref="A6:K57"/>
  <sheetViews>
    <sheetView tabSelected="1" view="pageLayout" zoomScaleNormal="100" workbookViewId="0">
      <selection sqref="A1:XFD1048576"/>
    </sheetView>
  </sheetViews>
  <sheetFormatPr defaultColWidth="3.85546875" defaultRowHeight="12.75" x14ac:dyDescent="0.2"/>
  <cols>
    <col min="1" max="1" width="5.85546875" style="174" bestFit="1" customWidth="1"/>
    <col min="2" max="2" width="1.140625" style="174" customWidth="1"/>
    <col min="3" max="3" width="45.7109375" style="174" customWidth="1"/>
    <col min="4" max="4" width="1.42578125" style="174" customWidth="1"/>
    <col min="5" max="5" width="28.42578125" style="118" hidden="1" customWidth="1"/>
    <col min="6" max="6" width="1.140625" style="174" customWidth="1"/>
    <col min="7" max="7" width="11.42578125" style="174" customWidth="1"/>
    <col min="8" max="8" width="12.140625" style="174" customWidth="1"/>
    <col min="9" max="10" width="11.42578125" style="174" customWidth="1"/>
    <col min="11" max="11" width="12.7109375" style="174" customWidth="1"/>
    <col min="12" max="12" width="3.85546875" style="174" bestFit="1" customWidth="1"/>
    <col min="13" max="14" width="3.85546875" style="174"/>
    <col min="15" max="15" width="3.140625" style="174" customWidth="1"/>
    <col min="16" max="16384" width="3.85546875" style="174"/>
  </cols>
  <sheetData>
    <row r="6" spans="1:11" x14ac:dyDescent="0.2">
      <c r="A6" s="111" t="s">
        <v>0</v>
      </c>
      <c r="B6" s="113"/>
      <c r="C6" s="113"/>
      <c r="D6" s="113"/>
      <c r="E6" s="175"/>
      <c r="F6" s="113"/>
      <c r="G6" s="113"/>
      <c r="H6" s="113"/>
      <c r="I6" s="113"/>
      <c r="J6" s="113"/>
      <c r="K6" s="113"/>
    </row>
    <row r="7" spans="1:11" s="112" customFormat="1" x14ac:dyDescent="0.2">
      <c r="A7" s="186" t="s">
        <v>312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1" s="112" customFormat="1" x14ac:dyDescent="0.2">
      <c r="A8" s="111"/>
      <c r="B8" s="111"/>
      <c r="C8" s="111"/>
      <c r="D8" s="111"/>
      <c r="E8" s="176"/>
      <c r="F8" s="111"/>
      <c r="G8" s="111"/>
      <c r="H8" s="111"/>
      <c r="I8" s="111"/>
      <c r="J8" s="111"/>
      <c r="K8" s="111"/>
    </row>
    <row r="9" spans="1:11" s="118" customFormat="1" ht="38.25" x14ac:dyDescent="0.2">
      <c r="A9" s="117" t="s">
        <v>3</v>
      </c>
      <c r="C9" s="119" t="s">
        <v>4</v>
      </c>
      <c r="E9" s="117" t="s">
        <v>5</v>
      </c>
      <c r="G9" s="117" t="s">
        <v>74</v>
      </c>
      <c r="H9" s="117" t="s">
        <v>75</v>
      </c>
      <c r="I9" s="117" t="s">
        <v>76</v>
      </c>
      <c r="J9" s="117" t="s">
        <v>77</v>
      </c>
      <c r="K9" s="117" t="s">
        <v>78</v>
      </c>
    </row>
    <row r="10" spans="1:11" x14ac:dyDescent="0.2">
      <c r="E10" s="151"/>
      <c r="G10" s="120" t="s">
        <v>6</v>
      </c>
      <c r="H10" s="120" t="s">
        <v>7</v>
      </c>
      <c r="I10" s="120" t="s">
        <v>79</v>
      </c>
      <c r="J10" s="120" t="s">
        <v>63</v>
      </c>
      <c r="K10" s="120" t="s">
        <v>80</v>
      </c>
    </row>
    <row r="11" spans="1:11" x14ac:dyDescent="0.2">
      <c r="C11" s="115" t="s">
        <v>296</v>
      </c>
      <c r="D11" s="115"/>
      <c r="E11" s="177"/>
      <c r="G11" s="120"/>
      <c r="H11" s="120"/>
      <c r="I11" s="120"/>
      <c r="J11" s="120"/>
      <c r="K11" s="120"/>
    </row>
    <row r="12" spans="1:11" x14ac:dyDescent="0.2">
      <c r="E12" s="151"/>
    </row>
    <row r="13" spans="1:11" x14ac:dyDescent="0.2">
      <c r="A13" s="120">
        <v>1</v>
      </c>
      <c r="C13" s="174" t="s">
        <v>30</v>
      </c>
      <c r="E13" s="151"/>
      <c r="G13" s="123">
        <v>16212.3</v>
      </c>
      <c r="H13" s="123">
        <f>I13-G13</f>
        <v>-410.5</v>
      </c>
      <c r="I13" s="123">
        <v>15801.8</v>
      </c>
      <c r="J13" s="123">
        <v>-85</v>
      </c>
      <c r="K13" s="123">
        <v>15716.8</v>
      </c>
    </row>
    <row r="14" spans="1:11" x14ac:dyDescent="0.2">
      <c r="A14" s="120">
        <v>2</v>
      </c>
      <c r="C14" s="174" t="s">
        <v>297</v>
      </c>
      <c r="E14" s="151"/>
      <c r="G14" s="70">
        <v>5.8744168458573061E-2</v>
      </c>
      <c r="H14" s="70"/>
      <c r="I14" s="70">
        <v>5.8700000000000002E-2</v>
      </c>
      <c r="J14" s="70"/>
      <c r="K14" s="70">
        <v>6.08E-2</v>
      </c>
    </row>
    <row r="15" spans="1:11" x14ac:dyDescent="0.2">
      <c r="A15" s="120">
        <v>3</v>
      </c>
      <c r="C15" s="174" t="s">
        <v>298</v>
      </c>
      <c r="E15" s="151"/>
      <c r="G15" s="127">
        <v>952.2</v>
      </c>
      <c r="H15" s="127">
        <f>I15-G15</f>
        <v>-24.100000000000023</v>
      </c>
      <c r="I15" s="127">
        <v>928.1</v>
      </c>
      <c r="J15" s="127">
        <v>27.8</v>
      </c>
      <c r="K15" s="127">
        <v>955.9</v>
      </c>
    </row>
    <row r="16" spans="1:11" x14ac:dyDescent="0.2">
      <c r="A16" s="120"/>
      <c r="E16" s="151"/>
      <c r="G16" s="122"/>
      <c r="H16" s="122"/>
      <c r="I16" s="122"/>
      <c r="J16" s="122"/>
      <c r="K16" s="122"/>
    </row>
    <row r="17" spans="1:11" x14ac:dyDescent="0.2">
      <c r="A17" s="120"/>
      <c r="C17" s="115" t="s">
        <v>233</v>
      </c>
      <c r="E17" s="151"/>
      <c r="G17" s="122"/>
      <c r="H17" s="122"/>
      <c r="I17" s="122"/>
      <c r="J17" s="122"/>
      <c r="K17" s="122"/>
    </row>
    <row r="18" spans="1:11" x14ac:dyDescent="0.2">
      <c r="A18" s="120"/>
      <c r="E18" s="151"/>
      <c r="G18" s="122"/>
      <c r="H18" s="122"/>
      <c r="I18" s="122"/>
      <c r="J18" s="122"/>
      <c r="K18" s="122"/>
    </row>
    <row r="19" spans="1:11" x14ac:dyDescent="0.2">
      <c r="A19" s="120">
        <v>4</v>
      </c>
      <c r="C19" s="174" t="s">
        <v>299</v>
      </c>
      <c r="E19" s="151"/>
      <c r="G19" s="123">
        <v>17.612274764011602</v>
      </c>
      <c r="H19" s="123">
        <f t="shared" ref="H19:H24" si="0">I19-G19</f>
        <v>-2.9122747640116025</v>
      </c>
      <c r="I19" s="123">
        <v>14.7</v>
      </c>
      <c r="J19" s="123">
        <f>K19-I19</f>
        <v>1.9290000000005136E-3</v>
      </c>
      <c r="K19" s="123">
        <v>14.701929</v>
      </c>
    </row>
    <row r="20" spans="1:11" x14ac:dyDescent="0.2">
      <c r="A20" s="120">
        <v>5</v>
      </c>
      <c r="C20" s="174" t="s">
        <v>300</v>
      </c>
      <c r="E20" s="151"/>
      <c r="G20" s="123">
        <v>1054</v>
      </c>
      <c r="H20" s="123">
        <f t="shared" si="0"/>
        <v>-50</v>
      </c>
      <c r="I20" s="123">
        <f>1004</f>
        <v>1004</v>
      </c>
      <c r="J20" s="123">
        <f t="shared" ref="J20:J23" si="1">K20-I20</f>
        <v>49.991747960000339</v>
      </c>
      <c r="K20" s="123">
        <v>1053.9917479600003</v>
      </c>
    </row>
    <row r="21" spans="1:11" x14ac:dyDescent="0.2">
      <c r="A21" s="120">
        <v>6</v>
      </c>
      <c r="C21" s="174" t="s">
        <v>241</v>
      </c>
      <c r="E21" s="151"/>
      <c r="G21" s="123">
        <v>878</v>
      </c>
      <c r="H21" s="123">
        <f t="shared" si="0"/>
        <v>-11.799999999999955</v>
      </c>
      <c r="I21" s="123">
        <v>866.2</v>
      </c>
      <c r="J21" s="123">
        <f t="shared" si="1"/>
        <v>-136.04200000000003</v>
      </c>
      <c r="K21" s="123">
        <v>730.15800000000002</v>
      </c>
    </row>
    <row r="22" spans="1:11" x14ac:dyDescent="0.2">
      <c r="A22" s="120">
        <v>7</v>
      </c>
      <c r="C22" s="174" t="s">
        <v>230</v>
      </c>
      <c r="E22" s="151"/>
      <c r="G22" s="123">
        <v>4</v>
      </c>
      <c r="H22" s="123">
        <f t="shared" si="0"/>
        <v>0</v>
      </c>
      <c r="I22" s="123">
        <v>4</v>
      </c>
      <c r="J22" s="123">
        <f t="shared" si="1"/>
        <v>0</v>
      </c>
      <c r="K22" s="123">
        <v>4</v>
      </c>
    </row>
    <row r="23" spans="1:11" x14ac:dyDescent="0.2">
      <c r="A23" s="120">
        <v>8</v>
      </c>
      <c r="C23" s="174" t="s">
        <v>232</v>
      </c>
      <c r="E23" s="151"/>
      <c r="G23" s="123">
        <v>126.2</v>
      </c>
      <c r="H23" s="123">
        <f t="shared" si="0"/>
        <v>-0.60000000000000853</v>
      </c>
      <c r="I23" s="123">
        <v>125.6</v>
      </c>
      <c r="J23" s="123">
        <f t="shared" si="1"/>
        <v>-1.6999999999995907E-2</v>
      </c>
      <c r="K23" s="123">
        <v>125.583</v>
      </c>
    </row>
    <row r="24" spans="1:11" x14ac:dyDescent="0.2">
      <c r="A24" s="120">
        <v>9</v>
      </c>
      <c r="C24" s="174" t="s">
        <v>140</v>
      </c>
      <c r="E24" s="151"/>
      <c r="G24" s="127">
        <f>SUM(G19:G23)</f>
        <v>2079.8122747640114</v>
      </c>
      <c r="H24" s="127">
        <f t="shared" si="0"/>
        <v>-65.312274764011363</v>
      </c>
      <c r="I24" s="127">
        <f>SUM(I19:I23)</f>
        <v>2014.5</v>
      </c>
      <c r="J24" s="127">
        <f t="shared" ref="J24:K24" si="2">SUM(J19:J23)</f>
        <v>-86.065323039999683</v>
      </c>
      <c r="K24" s="127">
        <f t="shared" si="2"/>
        <v>1928.4346769600006</v>
      </c>
    </row>
    <row r="25" spans="1:11" x14ac:dyDescent="0.2">
      <c r="A25" s="120"/>
      <c r="E25" s="151"/>
      <c r="G25" s="122"/>
      <c r="H25" s="122"/>
      <c r="I25" s="122"/>
      <c r="J25" s="122"/>
      <c r="K25" s="122"/>
    </row>
    <row r="26" spans="1:11" x14ac:dyDescent="0.2">
      <c r="A26" s="120"/>
      <c r="C26" s="115" t="s">
        <v>301</v>
      </c>
      <c r="E26" s="151"/>
      <c r="G26" s="122"/>
      <c r="H26" s="122"/>
      <c r="I26" s="122"/>
      <c r="J26" s="122"/>
      <c r="K26" s="122"/>
    </row>
    <row r="27" spans="1:11" x14ac:dyDescent="0.2">
      <c r="A27" s="120"/>
      <c r="E27" s="151"/>
      <c r="G27" s="122"/>
      <c r="H27" s="122"/>
      <c r="I27" s="122"/>
      <c r="J27" s="122"/>
      <c r="K27" s="122"/>
    </row>
    <row r="28" spans="1:11" x14ac:dyDescent="0.2">
      <c r="A28" s="120">
        <v>10</v>
      </c>
      <c r="C28" s="174" t="s">
        <v>222</v>
      </c>
      <c r="E28" s="151"/>
      <c r="G28" s="123">
        <v>-64.279665700703788</v>
      </c>
      <c r="H28" s="123">
        <v>0</v>
      </c>
      <c r="I28" s="123">
        <v>-64.3</v>
      </c>
      <c r="J28" s="123">
        <v>0</v>
      </c>
      <c r="K28" s="123">
        <v>-64.3</v>
      </c>
    </row>
    <row r="29" spans="1:11" x14ac:dyDescent="0.2">
      <c r="A29" s="120">
        <v>11</v>
      </c>
      <c r="C29" s="174" t="s">
        <v>224</v>
      </c>
      <c r="E29" s="151"/>
      <c r="G29" s="139" t="s">
        <v>138</v>
      </c>
      <c r="H29" s="123">
        <v>0</v>
      </c>
      <c r="I29" s="139" t="s">
        <v>138</v>
      </c>
      <c r="J29" s="123">
        <v>0</v>
      </c>
      <c r="K29" s="139" t="s">
        <v>138</v>
      </c>
    </row>
    <row r="30" spans="1:11" x14ac:dyDescent="0.2">
      <c r="A30" s="120">
        <v>12</v>
      </c>
      <c r="C30" s="174" t="s">
        <v>140</v>
      </c>
      <c r="E30" s="151"/>
      <c r="G30" s="127">
        <v>-64.279665700703788</v>
      </c>
      <c r="H30" s="127">
        <f>I30-G30</f>
        <v>-2.0334299296209224E-2</v>
      </c>
      <c r="I30" s="127">
        <v>-64.3</v>
      </c>
      <c r="J30" s="127">
        <v>0</v>
      </c>
      <c r="K30" s="127">
        <f>SUM(K28:K29)</f>
        <v>-64.3</v>
      </c>
    </row>
    <row r="31" spans="1:11" x14ac:dyDescent="0.2">
      <c r="A31" s="120"/>
      <c r="E31" s="179"/>
      <c r="G31" s="122"/>
      <c r="H31" s="122"/>
      <c r="I31" s="122"/>
      <c r="J31" s="122"/>
      <c r="K31" s="122"/>
    </row>
    <row r="32" spans="1:11" x14ac:dyDescent="0.2">
      <c r="A32" s="120"/>
      <c r="C32" s="115" t="s">
        <v>302</v>
      </c>
      <c r="E32" s="179"/>
      <c r="G32" s="122"/>
      <c r="H32" s="122"/>
      <c r="I32" s="122"/>
      <c r="J32" s="122"/>
      <c r="K32" s="122"/>
    </row>
    <row r="33" spans="1:11" x14ac:dyDescent="0.2">
      <c r="A33" s="120"/>
      <c r="C33" s="115"/>
      <c r="E33" s="179"/>
      <c r="G33" s="122"/>
      <c r="H33" s="122"/>
      <c r="I33" s="122"/>
      <c r="J33" s="122"/>
      <c r="K33" s="122"/>
    </row>
    <row r="34" spans="1:11" x14ac:dyDescent="0.2">
      <c r="A34" s="120">
        <v>13</v>
      </c>
      <c r="C34" s="174" t="s">
        <v>303</v>
      </c>
      <c r="E34" s="151"/>
      <c r="G34" s="123">
        <v>168.9</v>
      </c>
      <c r="H34" s="123">
        <f>I34-G34</f>
        <v>28.849999999999994</v>
      </c>
      <c r="I34" s="123">
        <f>197.45+0.3</f>
        <v>197.75</v>
      </c>
      <c r="J34" s="123">
        <v>4.5999999999999996</v>
      </c>
      <c r="K34" s="123">
        <f>'RR and Deficiency'!G34</f>
        <v>202.29999999999998</v>
      </c>
    </row>
    <row r="35" spans="1:11" x14ac:dyDescent="0.2">
      <c r="A35" s="120">
        <v>14</v>
      </c>
      <c r="C35" s="174" t="s">
        <v>304</v>
      </c>
      <c r="E35" s="151"/>
      <c r="G35" s="123">
        <v>-110.8</v>
      </c>
      <c r="H35" s="123">
        <f>I35-G35</f>
        <v>2.6653404269527812</v>
      </c>
      <c r="I35" s="123">
        <v>-108.13465957304722</v>
      </c>
      <c r="J35" s="123">
        <v>0.5</v>
      </c>
      <c r="K35" s="123">
        <f>'RR and Deficiency'!G35</f>
        <v>-107.6</v>
      </c>
    </row>
    <row r="36" spans="1:11" x14ac:dyDescent="0.2">
      <c r="A36" s="120">
        <v>15</v>
      </c>
      <c r="C36" s="174" t="s">
        <v>140</v>
      </c>
      <c r="E36" s="151"/>
      <c r="G36" s="127">
        <f>SUM(G34:G35)+0.1</f>
        <v>58.20000000000001</v>
      </c>
      <c r="H36" s="127">
        <f>I36-G36</f>
        <v>31.415340426952774</v>
      </c>
      <c r="I36" s="127">
        <f t="shared" ref="I36:J36" si="3">SUM(I34:I35)</f>
        <v>89.615340426952784</v>
      </c>
      <c r="J36" s="127">
        <f t="shared" si="3"/>
        <v>5.0999999999999996</v>
      </c>
      <c r="K36" s="127">
        <f>SUM(K34:K35)</f>
        <v>94.699999999999989</v>
      </c>
    </row>
    <row r="37" spans="1:11" x14ac:dyDescent="0.2">
      <c r="A37" s="120"/>
      <c r="C37" s="115"/>
      <c r="E37" s="151"/>
      <c r="G37" s="122"/>
      <c r="H37" s="122"/>
      <c r="I37" s="122"/>
      <c r="J37" s="122"/>
      <c r="K37" s="122"/>
    </row>
    <row r="38" spans="1:11" x14ac:dyDescent="0.2">
      <c r="A38" s="120"/>
      <c r="C38" s="115" t="s">
        <v>305</v>
      </c>
      <c r="E38" s="151"/>
      <c r="G38" s="122"/>
      <c r="H38" s="122"/>
      <c r="I38" s="122"/>
      <c r="J38" s="122"/>
      <c r="K38" s="122"/>
    </row>
    <row r="39" spans="1:11" x14ac:dyDescent="0.2">
      <c r="A39" s="120"/>
      <c r="C39" s="115"/>
      <c r="E39" s="151"/>
      <c r="G39" s="123"/>
      <c r="H39" s="123"/>
      <c r="I39" s="123"/>
      <c r="J39" s="123"/>
      <c r="K39" s="123"/>
    </row>
    <row r="40" spans="1:11" x14ac:dyDescent="0.2">
      <c r="A40" s="120">
        <v>16</v>
      </c>
      <c r="C40" s="174" t="s">
        <v>306</v>
      </c>
      <c r="E40" s="151"/>
      <c r="G40" s="123">
        <f>-291+23.2</f>
        <v>-267.8</v>
      </c>
      <c r="H40" s="123">
        <f>I40-G40</f>
        <v>84.100000000000023</v>
      </c>
      <c r="I40" s="123">
        <f>-184.6+0.9</f>
        <v>-183.7</v>
      </c>
      <c r="J40" s="123">
        <f>K40-I40</f>
        <v>72.102060075725831</v>
      </c>
      <c r="K40" s="123">
        <f>'RR and Deficiency'!G40</f>
        <v>-111.59793992427416</v>
      </c>
    </row>
    <row r="41" spans="1:11" x14ac:dyDescent="0.2">
      <c r="A41" s="120">
        <v>17</v>
      </c>
      <c r="C41" s="174" t="s">
        <v>279</v>
      </c>
      <c r="E41" s="151"/>
      <c r="G41" s="123">
        <v>-196.8</v>
      </c>
      <c r="H41" s="123">
        <f>I41-G41</f>
        <v>61.700000000000017</v>
      </c>
      <c r="I41" s="123">
        <f>-135.7+0.6</f>
        <v>-135.1</v>
      </c>
      <c r="J41" s="123">
        <f>K41-I41</f>
        <v>53.04151415565849</v>
      </c>
      <c r="K41" s="123">
        <f>'RR and Deficiency'!G41</f>
        <v>-82.058485844341504</v>
      </c>
    </row>
    <row r="42" spans="1:11" x14ac:dyDescent="0.2">
      <c r="A42" s="120">
        <v>18</v>
      </c>
      <c r="C42" s="174" t="s">
        <v>140</v>
      </c>
      <c r="E42" s="151"/>
      <c r="G42" s="127">
        <f>G41-G40</f>
        <v>71</v>
      </c>
      <c r="H42" s="127">
        <f>I42-G42</f>
        <v>-22.400000000000006</v>
      </c>
      <c r="I42" s="127">
        <f>I41-I40</f>
        <v>48.599999999999994</v>
      </c>
      <c r="J42" s="127">
        <f t="shared" ref="J42" si="4">J41-J40</f>
        <v>-19.060545920067341</v>
      </c>
      <c r="K42" s="127">
        <f>K41-K40</f>
        <v>29.539454079932653</v>
      </c>
    </row>
    <row r="43" spans="1:11" x14ac:dyDescent="0.2">
      <c r="A43" s="120"/>
      <c r="C43" s="115"/>
      <c r="E43" s="151"/>
      <c r="G43" s="123"/>
      <c r="H43" s="123"/>
      <c r="I43" s="123"/>
      <c r="J43" s="123"/>
      <c r="K43" s="123"/>
    </row>
    <row r="44" spans="1:11" ht="13.5" thickBot="1" x14ac:dyDescent="0.25">
      <c r="A44" s="120">
        <v>19</v>
      </c>
      <c r="C44" s="174" t="s">
        <v>282</v>
      </c>
      <c r="E44" s="151"/>
      <c r="G44" s="146">
        <f>G15+G24+G30+G36+G42</f>
        <v>3096.9326090633076</v>
      </c>
      <c r="H44" s="146">
        <f>I44-G44</f>
        <v>-80.417268636355402</v>
      </c>
      <c r="I44" s="146">
        <f>I15+I24+I30+I36+I42</f>
        <v>3016.5153404269522</v>
      </c>
      <c r="J44" s="146">
        <f>J15+J24+J30+J36+J42</f>
        <v>-72.225868960067032</v>
      </c>
      <c r="K44" s="146">
        <f>K15+K24+K30+K36+K42</f>
        <v>2944.2741310399329</v>
      </c>
    </row>
    <row r="45" spans="1:11" ht="13.5" thickTop="1" x14ac:dyDescent="0.2">
      <c r="A45" s="120"/>
      <c r="C45" s="115"/>
      <c r="E45" s="151"/>
      <c r="G45" s="123"/>
      <c r="H45" s="123"/>
      <c r="I45" s="123"/>
      <c r="J45" s="123"/>
      <c r="K45" s="123"/>
    </row>
    <row r="46" spans="1:11" x14ac:dyDescent="0.2">
      <c r="A46" s="120"/>
      <c r="E46" s="151"/>
      <c r="G46" s="123"/>
      <c r="H46" s="123"/>
      <c r="I46" s="123"/>
      <c r="J46" s="123"/>
      <c r="K46" s="123"/>
    </row>
    <row r="47" spans="1:11" x14ac:dyDescent="0.2">
      <c r="A47" s="120">
        <v>20</v>
      </c>
      <c r="C47" s="115" t="s">
        <v>307</v>
      </c>
      <c r="E47" s="151"/>
      <c r="G47" s="123"/>
      <c r="H47" s="123"/>
      <c r="I47" s="123"/>
      <c r="J47" s="123"/>
      <c r="K47" s="123"/>
    </row>
    <row r="48" spans="1:11" x14ac:dyDescent="0.2">
      <c r="A48" s="120"/>
      <c r="E48" s="151"/>
      <c r="G48" s="123"/>
      <c r="H48" s="123"/>
      <c r="I48" s="123"/>
      <c r="J48" s="123"/>
      <c r="K48" s="123"/>
    </row>
    <row r="49" spans="1:11" x14ac:dyDescent="0.2">
      <c r="A49" s="120">
        <v>21</v>
      </c>
      <c r="C49" s="174" t="s">
        <v>308</v>
      </c>
      <c r="D49" s="115"/>
      <c r="E49" s="151"/>
      <c r="G49" s="123">
        <v>2666.91479110501</v>
      </c>
      <c r="H49" s="123">
        <f>I49-G49</f>
        <v>3.1852088949899553</v>
      </c>
      <c r="I49" s="123">
        <v>2670.1</v>
      </c>
      <c r="J49" s="123">
        <f>K49-I49</f>
        <v>9.7329999998692074E-3</v>
      </c>
      <c r="K49" s="123">
        <f>'RR and Deficiency'!G49</f>
        <v>2670.1097329999998</v>
      </c>
    </row>
    <row r="50" spans="1:11" x14ac:dyDescent="0.2">
      <c r="A50" s="120">
        <v>22</v>
      </c>
      <c r="C50" s="174" t="s">
        <v>309</v>
      </c>
      <c r="E50" s="151"/>
      <c r="G50" s="123">
        <v>162.19999999999999</v>
      </c>
      <c r="H50" s="123">
        <f>I50-G50</f>
        <v>0.5</v>
      </c>
      <c r="I50" s="123">
        <f>162.2+0.5</f>
        <v>162.69999999999999</v>
      </c>
      <c r="J50" s="123">
        <f>K50-I50</f>
        <v>-5.7612909999988915E-2</v>
      </c>
      <c r="K50" s="123">
        <f>'RR and Deficiency'!G50</f>
        <v>162.64238709</v>
      </c>
    </row>
    <row r="51" spans="1:11" x14ac:dyDescent="0.2">
      <c r="A51" s="120"/>
      <c r="E51" s="179"/>
      <c r="G51" s="123"/>
      <c r="H51" s="123"/>
      <c r="I51" s="123"/>
      <c r="J51" s="123"/>
      <c r="K51" s="123"/>
    </row>
    <row r="52" spans="1:11" ht="13.5" thickBot="1" x14ac:dyDescent="0.25">
      <c r="A52" s="120">
        <v>23</v>
      </c>
      <c r="C52" s="174" t="s">
        <v>310</v>
      </c>
      <c r="E52" s="179"/>
      <c r="G52" s="146">
        <f>SUM(G49:G51)</f>
        <v>2829.1147911050098</v>
      </c>
      <c r="H52" s="146">
        <f>I52-G52</f>
        <v>3.6852088949899553</v>
      </c>
      <c r="I52" s="146">
        <f t="shared" ref="I52:K52" si="5">SUM(I49:I51)</f>
        <v>2832.7999999999997</v>
      </c>
      <c r="J52" s="146">
        <f t="shared" si="5"/>
        <v>-4.7879910000119708E-2</v>
      </c>
      <c r="K52" s="146">
        <f t="shared" si="5"/>
        <v>2832.7521200899996</v>
      </c>
    </row>
    <row r="53" spans="1:11" ht="13.5" thickTop="1" x14ac:dyDescent="0.2">
      <c r="A53" s="120"/>
      <c r="E53" s="151"/>
      <c r="G53" s="122"/>
      <c r="H53" s="122"/>
      <c r="I53" s="122"/>
      <c r="J53" s="122"/>
      <c r="K53" s="122"/>
    </row>
    <row r="54" spans="1:11" ht="13.5" thickBot="1" x14ac:dyDescent="0.25">
      <c r="A54" s="120">
        <v>24</v>
      </c>
      <c r="C54" s="174" t="s">
        <v>311</v>
      </c>
      <c r="E54" s="151"/>
      <c r="G54" s="146">
        <f>G52-G44</f>
        <v>-267.81781795829784</v>
      </c>
      <c r="H54" s="146">
        <f>I54-G54</f>
        <v>84.102477531345357</v>
      </c>
      <c r="I54" s="146">
        <f t="shared" ref="I54:J54" si="6">I52-I44</f>
        <v>-183.71534042695248</v>
      </c>
      <c r="J54" s="146">
        <f t="shared" si="6"/>
        <v>72.177989050066913</v>
      </c>
      <c r="K54" s="146">
        <f>K52-K44-0.1</f>
        <v>-111.62201094993324</v>
      </c>
    </row>
    <row r="55" spans="1:11" ht="13.5" thickTop="1" x14ac:dyDescent="0.2">
      <c r="A55" s="120"/>
      <c r="E55" s="151"/>
      <c r="G55" s="122"/>
      <c r="H55" s="122"/>
      <c r="I55" s="122"/>
      <c r="J55" s="122"/>
      <c r="K55" s="122"/>
    </row>
    <row r="56" spans="1:11" x14ac:dyDescent="0.2">
      <c r="A56" s="115" t="s">
        <v>337</v>
      </c>
    </row>
    <row r="57" spans="1:11" ht="14.45" customHeight="1" x14ac:dyDescent="0.2">
      <c r="A57" s="163" t="s">
        <v>27</v>
      </c>
      <c r="B57" s="181" t="s">
        <v>28</v>
      </c>
      <c r="C57" s="181"/>
      <c r="D57" s="181"/>
      <c r="E57" s="181"/>
      <c r="F57" s="181"/>
      <c r="G57" s="181"/>
      <c r="I57" s="141"/>
    </row>
  </sheetData>
  <sheetProtection selectLockedCells="1"/>
  <mergeCells count="2">
    <mergeCell ref="A7:K7"/>
    <mergeCell ref="B57:G57"/>
  </mergeCells>
  <pageMargins left="0.7" right="0.7" top="0.75" bottom="0.75" header="0.3" footer="0.3"/>
  <pageSetup scale="79" orientation="portrait" r:id="rId1"/>
  <headerFooter>
    <oddHeader>&amp;R&amp;"Arial,Regular"&amp;10Updated: 2024-03-15
EB-2022-0200
Rate Order
Working Papers
Schedule 13
Page 1 of 1</oddHeader>
  </headerFooter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5FB0-F089-4A11-99E0-A35B314A2649}">
  <sheetPr codeName="Sheet14">
    <tabColor theme="9" tint="0.59999389629810485"/>
    <pageSetUpPr fitToPage="1"/>
  </sheetPr>
  <dimension ref="A6:K24"/>
  <sheetViews>
    <sheetView view="pageLayout" topLeftCell="C1" zoomScaleNormal="100" workbookViewId="0">
      <selection activeCell="L3" sqref="L3"/>
    </sheetView>
  </sheetViews>
  <sheetFormatPr defaultColWidth="3.85546875" defaultRowHeight="12.75" x14ac:dyDescent="0.2"/>
  <cols>
    <col min="1" max="1" width="5.85546875" style="8" bestFit="1" customWidth="1"/>
    <col min="2" max="2" width="1.140625" style="8" customWidth="1"/>
    <col min="3" max="3" width="37.85546875" style="8" customWidth="1"/>
    <col min="4" max="4" width="1.42578125" style="8" customWidth="1"/>
    <col min="5" max="5" width="28.42578125" style="6" hidden="1" customWidth="1"/>
    <col min="6" max="6" width="1.140625" style="8" customWidth="1"/>
    <col min="7" max="7" width="11.42578125" style="8" customWidth="1"/>
    <col min="8" max="8" width="11.5703125" style="8" customWidth="1"/>
    <col min="9" max="11" width="11.42578125" style="8" customWidth="1"/>
    <col min="12" max="16384" width="3.85546875" style="8"/>
  </cols>
  <sheetData>
    <row r="6" spans="1:11" x14ac:dyDescent="0.2">
      <c r="A6" s="1" t="s">
        <v>0</v>
      </c>
      <c r="B6" s="12"/>
      <c r="C6" s="12"/>
      <c r="D6" s="12"/>
      <c r="E6" s="46"/>
      <c r="F6" s="12"/>
      <c r="G6" s="12"/>
      <c r="H6" s="12"/>
      <c r="I6" s="12"/>
      <c r="J6" s="12"/>
      <c r="K6" s="12"/>
    </row>
    <row r="7" spans="1:11" s="2" customFormat="1" x14ac:dyDescent="0.2">
      <c r="A7" s="183" t="s">
        <v>313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</row>
    <row r="8" spans="1:11" s="2" customFormat="1" x14ac:dyDescent="0.2">
      <c r="A8" s="1"/>
      <c r="B8" s="1"/>
      <c r="C8" s="1"/>
      <c r="D8" s="1"/>
      <c r="E8" s="24"/>
      <c r="F8" s="1"/>
      <c r="G8" s="1"/>
      <c r="H8" s="1"/>
      <c r="I8" s="1"/>
      <c r="J8" s="1"/>
      <c r="K8" s="1"/>
    </row>
    <row r="9" spans="1:11" s="6" customFormat="1" ht="38.25" x14ac:dyDescent="0.2">
      <c r="A9" s="5" t="s">
        <v>3</v>
      </c>
      <c r="C9" s="7" t="s">
        <v>4</v>
      </c>
      <c r="E9" s="5" t="s">
        <v>5</v>
      </c>
      <c r="G9" s="5" t="s">
        <v>74</v>
      </c>
      <c r="H9" s="5" t="s">
        <v>75</v>
      </c>
      <c r="I9" s="5" t="s">
        <v>76</v>
      </c>
      <c r="J9" s="5" t="s">
        <v>77</v>
      </c>
      <c r="K9" s="5" t="s">
        <v>78</v>
      </c>
    </row>
    <row r="10" spans="1:11" x14ac:dyDescent="0.2">
      <c r="E10" s="9"/>
      <c r="G10" s="9" t="s">
        <v>6</v>
      </c>
      <c r="H10" s="9" t="s">
        <v>7</v>
      </c>
      <c r="I10" s="9" t="s">
        <v>79</v>
      </c>
      <c r="J10" s="9" t="s">
        <v>63</v>
      </c>
      <c r="K10" s="9" t="s">
        <v>80</v>
      </c>
    </row>
    <row r="11" spans="1:11" x14ac:dyDescent="0.2">
      <c r="A11" s="9"/>
      <c r="C11" s="3" t="s">
        <v>314</v>
      </c>
      <c r="E11" s="9"/>
      <c r="G11" s="10"/>
      <c r="H11" s="9"/>
      <c r="I11" s="9"/>
      <c r="J11" s="9"/>
      <c r="K11" s="9"/>
    </row>
    <row r="12" spans="1:11" x14ac:dyDescent="0.2">
      <c r="A12" s="9"/>
      <c r="E12" s="9"/>
      <c r="G12" s="10"/>
    </row>
    <row r="13" spans="1:11" x14ac:dyDescent="0.2">
      <c r="A13" s="9">
        <v>1</v>
      </c>
      <c r="C13" s="8" t="s">
        <v>299</v>
      </c>
      <c r="E13" s="9"/>
      <c r="G13" s="48">
        <v>3210.4183343761702</v>
      </c>
      <c r="H13" s="48">
        <f>I13-G13</f>
        <v>-93.394326676170294</v>
      </c>
      <c r="I13" s="25">
        <v>3117.0240076999999</v>
      </c>
      <c r="J13" s="25">
        <f>K13-I13</f>
        <v>0</v>
      </c>
      <c r="K13" s="25">
        <v>3117.0240076999999</v>
      </c>
    </row>
    <row r="14" spans="1:11" x14ac:dyDescent="0.2">
      <c r="A14" s="9"/>
      <c r="E14" s="9"/>
      <c r="G14" s="10"/>
      <c r="H14" s="36"/>
      <c r="I14" s="36"/>
      <c r="J14" s="36"/>
      <c r="K14" s="36"/>
    </row>
    <row r="15" spans="1:11" x14ac:dyDescent="0.2">
      <c r="A15" s="9"/>
      <c r="C15" s="3" t="s">
        <v>281</v>
      </c>
      <c r="E15" s="9"/>
      <c r="G15" s="10"/>
      <c r="H15" s="18"/>
      <c r="I15" s="18"/>
      <c r="J15" s="18"/>
      <c r="K15" s="18"/>
    </row>
    <row r="16" spans="1:11" x14ac:dyDescent="0.2">
      <c r="A16" s="9"/>
      <c r="E16" s="9"/>
      <c r="G16" s="10"/>
      <c r="H16" s="10"/>
      <c r="I16" s="10"/>
      <c r="J16" s="10"/>
      <c r="K16" s="10"/>
    </row>
    <row r="17" spans="1:11" x14ac:dyDescent="0.2">
      <c r="A17" s="9">
        <v>2</v>
      </c>
      <c r="C17" s="8" t="s">
        <v>315</v>
      </c>
      <c r="E17" s="9"/>
      <c r="G17" s="18">
        <f>G19-G18</f>
        <v>3107.35690897411</v>
      </c>
      <c r="H17" s="18">
        <f>I17-G17</f>
        <v>5.2333421158900819</v>
      </c>
      <c r="I17" s="18">
        <v>3112.59025109</v>
      </c>
      <c r="J17" s="18">
        <v>0</v>
      </c>
      <c r="K17" s="18">
        <v>3112.59025109</v>
      </c>
    </row>
    <row r="18" spans="1:11" x14ac:dyDescent="0.2">
      <c r="A18" s="9">
        <v>3</v>
      </c>
      <c r="C18" s="8" t="s">
        <v>316</v>
      </c>
      <c r="E18" s="9"/>
      <c r="G18" s="18">
        <v>79.881646000000003</v>
      </c>
      <c r="H18" s="18">
        <f>I18-G18</f>
        <v>-79.881646000000003</v>
      </c>
      <c r="I18" s="18">
        <v>0</v>
      </c>
      <c r="J18" s="18">
        <v>0</v>
      </c>
      <c r="K18" s="18">
        <v>0</v>
      </c>
    </row>
    <row r="19" spans="1:11" x14ac:dyDescent="0.2">
      <c r="A19" s="9">
        <v>4</v>
      </c>
      <c r="C19" s="8" t="s">
        <v>140</v>
      </c>
      <c r="E19" s="9"/>
      <c r="G19" s="25">
        <v>3187.2385549741098</v>
      </c>
      <c r="H19" s="25">
        <f>I19-G19</f>
        <v>-74.648303884109737</v>
      </c>
      <c r="I19" s="25">
        <v>3112.59025109</v>
      </c>
      <c r="J19" s="25">
        <f>K19-I19</f>
        <v>0</v>
      </c>
      <c r="K19" s="25">
        <v>3112.59025109</v>
      </c>
    </row>
    <row r="20" spans="1:11" x14ac:dyDescent="0.2">
      <c r="A20" s="9"/>
      <c r="E20" s="9"/>
      <c r="G20" s="10"/>
      <c r="H20" s="10"/>
      <c r="I20" s="10"/>
      <c r="J20" s="10"/>
      <c r="K20" s="10"/>
    </row>
    <row r="21" spans="1:11" ht="13.5" thickBot="1" x14ac:dyDescent="0.25">
      <c r="A21" s="9">
        <v>5</v>
      </c>
      <c r="C21" s="8" t="s">
        <v>290</v>
      </c>
      <c r="E21" s="9"/>
      <c r="G21" s="34">
        <f>G19-G13</f>
        <v>-23.179779402060376</v>
      </c>
      <c r="H21" s="34">
        <f>H19-H13</f>
        <v>18.746022792060558</v>
      </c>
      <c r="I21" s="34">
        <f>I19-I13</f>
        <v>-4.4337566099998185</v>
      </c>
      <c r="J21" s="34">
        <f t="shared" ref="J21:K21" si="0">J19-J13</f>
        <v>0</v>
      </c>
      <c r="K21" s="34">
        <f t="shared" si="0"/>
        <v>-4.4337566099998185</v>
      </c>
    </row>
    <row r="22" spans="1:11" ht="13.5" thickTop="1" x14ac:dyDescent="0.2">
      <c r="A22" s="9"/>
      <c r="C22" s="3"/>
      <c r="E22" s="9"/>
      <c r="G22" s="18"/>
      <c r="H22" s="18"/>
      <c r="I22" s="18"/>
      <c r="J22" s="18"/>
      <c r="K22" s="18"/>
    </row>
    <row r="23" spans="1:11" x14ac:dyDescent="0.2">
      <c r="A23" s="3" t="s">
        <v>26</v>
      </c>
      <c r="E23" s="9"/>
      <c r="G23" s="18"/>
      <c r="H23" s="18"/>
      <c r="I23" s="18"/>
      <c r="J23" s="18"/>
      <c r="K23" s="18"/>
    </row>
    <row r="24" spans="1:11" x14ac:dyDescent="0.2">
      <c r="A24" s="21" t="s">
        <v>27</v>
      </c>
      <c r="C24" s="8" t="s">
        <v>28</v>
      </c>
      <c r="D24" s="35"/>
      <c r="E24" s="35"/>
      <c r="F24" s="35"/>
      <c r="G24" s="35"/>
      <c r="H24" s="35"/>
      <c r="I24" s="103"/>
      <c r="J24" s="35"/>
      <c r="K24" s="35"/>
    </row>
  </sheetData>
  <sheetProtection selectLockedCells="1"/>
  <mergeCells count="1">
    <mergeCell ref="A7:K7"/>
  </mergeCells>
  <pageMargins left="0.7" right="0.7" top="0.75" bottom="0.75" header="0.3" footer="0.3"/>
  <pageSetup scale="86" orientation="portrait" r:id="rId1"/>
  <headerFooter>
    <oddHeader>&amp;R&amp;"Arial,Regular"&amp;10Filed: 2024-02-16
EB-2022-0200
Rate Order
Working Papers
Schedule 14
Page 1 of 1</oddHeader>
  </headerFooter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4996-AB2F-4205-9356-03A6E57970CB}">
  <sheetPr codeName="Sheet15">
    <tabColor theme="9" tint="0.59999389629810485"/>
  </sheetPr>
  <dimension ref="B1:L35"/>
  <sheetViews>
    <sheetView view="pageLayout" zoomScaleNormal="100" workbookViewId="0">
      <selection activeCell="H17" sqref="H17"/>
    </sheetView>
  </sheetViews>
  <sheetFormatPr defaultRowHeight="15" x14ac:dyDescent="0.25"/>
  <cols>
    <col min="3" max="3" width="1.85546875" customWidth="1"/>
    <col min="4" max="4" width="44.5703125" customWidth="1"/>
    <col min="5" max="5" width="1.5703125" customWidth="1"/>
    <col min="6" max="6" width="19" customWidth="1"/>
    <col min="8" max="8" width="17.140625" bestFit="1" customWidth="1"/>
    <col min="9" max="9" width="42.85546875" customWidth="1"/>
  </cols>
  <sheetData>
    <row r="1" spans="2:12" x14ac:dyDescent="0.25">
      <c r="B1" s="50"/>
      <c r="C1" s="50"/>
      <c r="D1" s="50"/>
      <c r="E1" s="50"/>
      <c r="F1" s="51"/>
    </row>
    <row r="2" spans="2:12" x14ac:dyDescent="0.25">
      <c r="B2" s="50"/>
      <c r="C2" s="50"/>
      <c r="D2" s="50"/>
      <c r="E2" s="50"/>
      <c r="F2" s="51"/>
    </row>
    <row r="3" spans="2:12" x14ac:dyDescent="0.25">
      <c r="B3" s="50"/>
      <c r="C3" s="50"/>
      <c r="D3" s="50"/>
      <c r="E3" s="50"/>
      <c r="F3" s="51"/>
    </row>
    <row r="4" spans="2:12" x14ac:dyDescent="0.25">
      <c r="B4" s="50"/>
      <c r="C4" s="50"/>
      <c r="D4" s="50"/>
      <c r="E4" s="50"/>
      <c r="F4" s="51"/>
    </row>
    <row r="5" spans="2:12" s="8" customFormat="1" ht="12.75" customHeight="1" x14ac:dyDescent="0.2">
      <c r="B5" s="190" t="s">
        <v>0</v>
      </c>
      <c r="C5" s="190"/>
      <c r="D5" s="190"/>
      <c r="E5" s="190"/>
      <c r="F5" s="190"/>
      <c r="G5" s="12"/>
      <c r="H5" s="12"/>
      <c r="I5" s="12"/>
      <c r="J5" s="12"/>
      <c r="K5" s="12"/>
      <c r="L5" s="12"/>
    </row>
    <row r="6" spans="2:12" x14ac:dyDescent="0.25">
      <c r="B6" s="190" t="s">
        <v>317</v>
      </c>
      <c r="C6" s="190"/>
      <c r="D6" s="190"/>
      <c r="E6" s="190"/>
      <c r="F6" s="190"/>
    </row>
    <row r="7" spans="2:12" x14ac:dyDescent="0.25">
      <c r="B7" s="50"/>
      <c r="C7" s="50"/>
      <c r="D7" s="50"/>
      <c r="E7" s="50"/>
      <c r="F7" s="51"/>
    </row>
    <row r="8" spans="2:12" x14ac:dyDescent="0.25">
      <c r="B8" s="52"/>
      <c r="C8" s="52"/>
      <c r="D8" s="52"/>
      <c r="E8" s="52"/>
      <c r="F8" s="56">
        <v>2024</v>
      </c>
    </row>
    <row r="9" spans="2:12" x14ac:dyDescent="0.25">
      <c r="B9" s="53" t="s">
        <v>3</v>
      </c>
      <c r="C9" s="54"/>
      <c r="D9" s="55" t="s">
        <v>4</v>
      </c>
      <c r="E9" s="54"/>
      <c r="F9" s="53" t="s">
        <v>269</v>
      </c>
    </row>
    <row r="10" spans="2:12" x14ac:dyDescent="0.25">
      <c r="B10" s="56"/>
      <c r="C10" s="54"/>
      <c r="D10" s="54"/>
      <c r="E10" s="54"/>
      <c r="F10" s="56" t="s">
        <v>6</v>
      </c>
    </row>
    <row r="11" spans="2:12" x14ac:dyDescent="0.25">
      <c r="B11" s="50"/>
      <c r="C11" s="50"/>
      <c r="D11" s="50"/>
      <c r="E11" s="50"/>
      <c r="F11" s="51"/>
    </row>
    <row r="12" spans="2:12" x14ac:dyDescent="0.25">
      <c r="B12" s="50"/>
      <c r="C12" s="50"/>
      <c r="D12" s="57" t="s">
        <v>219</v>
      </c>
      <c r="E12" s="50"/>
      <c r="F12" s="51"/>
    </row>
    <row r="13" spans="2:12" x14ac:dyDescent="0.25">
      <c r="B13" s="51">
        <v>1</v>
      </c>
      <c r="C13" s="50"/>
      <c r="D13" s="54" t="s">
        <v>318</v>
      </c>
      <c r="E13" s="50"/>
      <c r="F13" s="58">
        <v>4.9766391903450895</v>
      </c>
      <c r="G13" s="102"/>
      <c r="H13" s="107"/>
    </row>
    <row r="14" spans="2:12" x14ac:dyDescent="0.25">
      <c r="B14" s="51"/>
      <c r="C14" s="50"/>
      <c r="D14" s="54"/>
      <c r="E14" s="50"/>
      <c r="F14" s="59"/>
      <c r="H14" s="107"/>
    </row>
    <row r="15" spans="2:12" x14ac:dyDescent="0.25">
      <c r="B15" s="51">
        <v>2</v>
      </c>
      <c r="C15" s="50"/>
      <c r="D15" s="47" t="s">
        <v>319</v>
      </c>
      <c r="E15" s="50"/>
      <c r="F15" s="59">
        <v>1.6</v>
      </c>
      <c r="H15" s="107"/>
    </row>
    <row r="16" spans="2:12" x14ac:dyDescent="0.25">
      <c r="B16" s="51">
        <v>3</v>
      </c>
      <c r="C16" s="50"/>
      <c r="D16" s="47" t="s">
        <v>320</v>
      </c>
      <c r="E16" s="50"/>
      <c r="F16" s="59">
        <v>-0.6</v>
      </c>
      <c r="H16" s="107"/>
    </row>
    <row r="17" spans="2:9" x14ac:dyDescent="0.25">
      <c r="B17" s="51">
        <v>4</v>
      </c>
      <c r="C17" s="50"/>
      <c r="D17" s="47" t="s">
        <v>321</v>
      </c>
      <c r="E17" s="50"/>
      <c r="F17" s="59">
        <v>-0.6</v>
      </c>
      <c r="H17" s="107"/>
    </row>
    <row r="18" spans="2:9" x14ac:dyDescent="0.25">
      <c r="B18" s="51">
        <v>5</v>
      </c>
      <c r="C18" s="50"/>
      <c r="D18" s="47" t="s">
        <v>322</v>
      </c>
      <c r="E18" s="50"/>
      <c r="F18" s="58">
        <v>0.4</v>
      </c>
      <c r="H18" s="106"/>
    </row>
    <row r="19" spans="2:9" x14ac:dyDescent="0.25">
      <c r="B19" s="51">
        <v>6</v>
      </c>
      <c r="C19" s="50"/>
      <c r="D19" s="54" t="s">
        <v>323</v>
      </c>
      <c r="E19" s="50"/>
      <c r="F19" s="59">
        <v>0.86869812459223594</v>
      </c>
      <c r="H19" s="107"/>
      <c r="I19" s="49"/>
    </row>
    <row r="20" spans="2:9" x14ac:dyDescent="0.25">
      <c r="B20" s="51">
        <v>7</v>
      </c>
      <c r="C20" s="50"/>
      <c r="D20" s="54" t="s">
        <v>324</v>
      </c>
      <c r="E20" s="50"/>
      <c r="F20" s="60">
        <v>4.1079410657528532</v>
      </c>
      <c r="H20" s="107"/>
    </row>
    <row r="21" spans="2:9" x14ac:dyDescent="0.25">
      <c r="B21" s="51"/>
      <c r="C21" s="50"/>
      <c r="D21" s="54"/>
      <c r="E21" s="50"/>
      <c r="F21" s="59"/>
      <c r="H21" s="107"/>
    </row>
    <row r="22" spans="2:9" x14ac:dyDescent="0.25">
      <c r="B22" s="51">
        <v>8</v>
      </c>
      <c r="C22" s="50"/>
      <c r="D22" s="54" t="s">
        <v>325</v>
      </c>
      <c r="E22" s="50"/>
      <c r="F22" s="61">
        <v>4.2463837637800399</v>
      </c>
    </row>
    <row r="23" spans="2:9" x14ac:dyDescent="0.25">
      <c r="B23" s="51"/>
      <c r="C23" s="50"/>
      <c r="D23" s="54"/>
      <c r="E23" s="50"/>
      <c r="F23" s="59"/>
    </row>
    <row r="24" spans="2:9" x14ac:dyDescent="0.25">
      <c r="B24" s="51"/>
      <c r="C24" s="50"/>
      <c r="D24" s="52" t="s">
        <v>326</v>
      </c>
      <c r="E24" s="50"/>
      <c r="F24" s="59"/>
    </row>
    <row r="25" spans="2:9" x14ac:dyDescent="0.25">
      <c r="B25" s="51">
        <v>9</v>
      </c>
      <c r="C25" s="50"/>
      <c r="D25" s="54" t="s">
        <v>327</v>
      </c>
      <c r="E25" s="50"/>
      <c r="F25" s="59">
        <v>40.252593022047336</v>
      </c>
    </row>
    <row r="26" spans="2:9" x14ac:dyDescent="0.25">
      <c r="B26" s="51"/>
      <c r="C26" s="50"/>
      <c r="D26" s="54"/>
      <c r="E26" s="50"/>
      <c r="F26" s="62"/>
    </row>
    <row r="27" spans="2:9" x14ac:dyDescent="0.25">
      <c r="B27" s="51">
        <v>10</v>
      </c>
      <c r="C27" s="50"/>
      <c r="D27" s="54" t="s">
        <v>328</v>
      </c>
      <c r="E27" s="50"/>
      <c r="F27" s="63">
        <v>0.1054934215406743</v>
      </c>
    </row>
    <row r="28" spans="2:9" x14ac:dyDescent="0.25">
      <c r="B28" s="51"/>
      <c r="C28" s="50"/>
      <c r="D28" s="54"/>
      <c r="E28" s="50"/>
      <c r="F28" s="64"/>
    </row>
    <row r="29" spans="2:9" ht="15.75" thickBot="1" x14ac:dyDescent="0.3">
      <c r="B29" s="51">
        <v>11</v>
      </c>
      <c r="C29" s="50"/>
      <c r="D29" s="54" t="s">
        <v>297</v>
      </c>
      <c r="E29" s="50"/>
      <c r="F29" s="104">
        <v>6.0999999999999999E-2</v>
      </c>
    </row>
    <row r="30" spans="2:9" ht="15.75" thickTop="1" x14ac:dyDescent="0.25">
      <c r="B30" s="51"/>
      <c r="C30" s="50"/>
      <c r="D30" s="54"/>
      <c r="E30" s="50"/>
      <c r="F30" s="62"/>
    </row>
    <row r="31" spans="2:9" x14ac:dyDescent="0.25">
      <c r="B31" s="51">
        <v>12</v>
      </c>
      <c r="C31" s="50"/>
      <c r="D31" s="54" t="s">
        <v>329</v>
      </c>
      <c r="E31" s="50"/>
      <c r="F31" s="59">
        <v>1.8818613447652954</v>
      </c>
    </row>
    <row r="32" spans="2:9" x14ac:dyDescent="0.25">
      <c r="B32" s="51">
        <v>13</v>
      </c>
      <c r="C32" s="50"/>
      <c r="D32" s="54" t="s">
        <v>330</v>
      </c>
      <c r="E32" s="50"/>
      <c r="F32" s="59">
        <v>2.5603555711092452</v>
      </c>
    </row>
    <row r="33" spans="2:11" x14ac:dyDescent="0.25">
      <c r="B33" s="65"/>
      <c r="C33" s="65"/>
      <c r="D33" s="65"/>
      <c r="E33" s="65"/>
      <c r="F33" s="66"/>
    </row>
    <row r="34" spans="2:11" x14ac:dyDescent="0.25">
      <c r="B34" s="3" t="s">
        <v>26</v>
      </c>
      <c r="C34" s="67"/>
      <c r="D34" s="67"/>
      <c r="E34" s="67"/>
      <c r="F34" s="67"/>
    </row>
    <row r="35" spans="2:11" ht="53.25" customHeight="1" x14ac:dyDescent="0.25">
      <c r="B35" s="109" t="s">
        <v>27</v>
      </c>
      <c r="C35" s="67"/>
      <c r="D35" s="185" t="s">
        <v>331</v>
      </c>
      <c r="E35" s="191"/>
      <c r="F35" s="191"/>
      <c r="I35" s="6"/>
      <c r="J35" s="105"/>
      <c r="K35" s="105"/>
    </row>
  </sheetData>
  <sheetProtection selectLockedCells="1"/>
  <mergeCells count="3">
    <mergeCell ref="B6:F6"/>
    <mergeCell ref="D35:F35"/>
    <mergeCell ref="B5:F5"/>
  </mergeCells>
  <pageMargins left="0.7" right="0.7" top="0.75" bottom="0.75" header="0.3" footer="0.3"/>
  <pageSetup scale="95" orientation="portrait" r:id="rId1"/>
  <headerFooter>
    <oddHeader>&amp;R&amp;"Arial,Regular"&amp;10Filed: 2024-02-16
EB-2022-0200
Rate Order
Working Papers
Schedule 15
Page 1 of 1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44EC-AED8-46E1-B39E-58FB66EDA070}">
  <sheetPr codeName="Sheet2">
    <tabColor theme="9" tint="0.59999389629810485"/>
  </sheetPr>
  <dimension ref="A5:L38"/>
  <sheetViews>
    <sheetView view="pageLayout" zoomScaleNormal="100" workbookViewId="0">
      <selection activeCell="I28" sqref="I28"/>
    </sheetView>
  </sheetViews>
  <sheetFormatPr defaultColWidth="101.140625" defaultRowHeight="12.75" x14ac:dyDescent="0.2"/>
  <cols>
    <col min="1" max="1" width="5.5703125" style="8" bestFit="1" customWidth="1"/>
    <col min="2" max="2" width="1.42578125" style="8" customWidth="1"/>
    <col min="3" max="3" width="39.85546875" style="8" customWidth="1"/>
    <col min="4" max="4" width="1.42578125" style="8" customWidth="1"/>
    <col min="5" max="6" width="14" style="8" customWidth="1"/>
    <col min="7" max="69" width="12.5703125" style="8" customWidth="1"/>
    <col min="70" max="16384" width="101.140625" style="8"/>
  </cols>
  <sheetData>
    <row r="5" spans="1:12" ht="15" x14ac:dyDescent="0.25">
      <c r="J5"/>
      <c r="K5"/>
      <c r="L5"/>
    </row>
    <row r="6" spans="1:12" ht="15" x14ac:dyDescent="0.25">
      <c r="A6" s="1" t="s">
        <v>0</v>
      </c>
      <c r="B6" s="12"/>
      <c r="C6" s="12"/>
      <c r="D6" s="12"/>
      <c r="E6" s="12"/>
      <c r="F6" s="12"/>
      <c r="G6" s="12"/>
      <c r="H6" s="12"/>
      <c r="I6" s="12"/>
      <c r="J6"/>
      <c r="K6"/>
      <c r="L6"/>
    </row>
    <row r="7" spans="1:12" ht="15" x14ac:dyDescent="0.25">
      <c r="A7" s="1" t="s">
        <v>55</v>
      </c>
      <c r="B7" s="1"/>
      <c r="C7" s="1"/>
      <c r="D7" s="1"/>
      <c r="E7" s="1"/>
      <c r="F7" s="1"/>
      <c r="G7" s="1"/>
      <c r="H7" s="1"/>
      <c r="I7" s="1"/>
      <c r="J7"/>
      <c r="K7"/>
      <c r="L7"/>
    </row>
    <row r="8" spans="1:12" ht="15" x14ac:dyDescent="0.25">
      <c r="A8" s="1" t="s">
        <v>2</v>
      </c>
      <c r="B8" s="1"/>
      <c r="C8" s="1"/>
      <c r="D8" s="1"/>
      <c r="E8" s="1"/>
      <c r="F8" s="1"/>
      <c r="G8" s="1"/>
      <c r="H8" s="1"/>
      <c r="I8" s="1"/>
      <c r="J8"/>
      <c r="K8"/>
      <c r="L8"/>
    </row>
    <row r="9" spans="1:12" ht="15" x14ac:dyDescent="0.25">
      <c r="J9"/>
      <c r="K9"/>
      <c r="L9"/>
    </row>
    <row r="10" spans="1:12" s="2" customFormat="1" ht="15" x14ac:dyDescent="0.25">
      <c r="A10" s="3"/>
      <c r="B10" s="3"/>
      <c r="C10" s="3"/>
      <c r="D10" s="3"/>
      <c r="E10" s="13"/>
      <c r="F10" s="13"/>
      <c r="G10" s="13"/>
      <c r="H10" s="182">
        <v>2024</v>
      </c>
      <c r="I10" s="182"/>
      <c r="J10"/>
      <c r="K10"/>
      <c r="L10"/>
    </row>
    <row r="11" spans="1:12" s="2" customFormat="1" ht="15" x14ac:dyDescent="0.25">
      <c r="A11" s="14"/>
      <c r="B11" s="3"/>
      <c r="C11" s="3"/>
      <c r="D11" s="3"/>
      <c r="E11" s="3"/>
      <c r="F11" s="3"/>
      <c r="G11" s="3"/>
      <c r="H11" s="3"/>
      <c r="I11" s="3"/>
      <c r="J11"/>
      <c r="K11"/>
      <c r="L11"/>
    </row>
    <row r="12" spans="1:12" ht="15" x14ac:dyDescent="0.25">
      <c r="A12" s="14"/>
      <c r="B12" s="3"/>
      <c r="C12" s="3"/>
      <c r="D12" s="3"/>
      <c r="E12" s="9"/>
      <c r="F12" s="9"/>
      <c r="G12" s="9" t="s">
        <v>56</v>
      </c>
      <c r="H12" s="3"/>
      <c r="I12" s="3"/>
      <c r="J12"/>
      <c r="K12"/>
      <c r="L12"/>
    </row>
    <row r="13" spans="1:12" s="23" customFormat="1" ht="26.25" x14ac:dyDescent="0.25">
      <c r="A13" s="5" t="s">
        <v>3</v>
      </c>
      <c r="B13" s="6"/>
      <c r="C13" s="7" t="s">
        <v>4</v>
      </c>
      <c r="D13" s="6"/>
      <c r="E13" s="5" t="s">
        <v>57</v>
      </c>
      <c r="F13" s="5" t="s">
        <v>58</v>
      </c>
      <c r="G13" s="5" t="s">
        <v>59</v>
      </c>
      <c r="H13" s="5" t="s">
        <v>60</v>
      </c>
      <c r="I13" s="5" t="s">
        <v>61</v>
      </c>
      <c r="J13" s="22"/>
      <c r="K13" s="22"/>
      <c r="L13" s="22"/>
    </row>
    <row r="14" spans="1:12" s="6" customFormat="1" ht="26.25" x14ac:dyDescent="0.25">
      <c r="A14" s="8"/>
      <c r="B14" s="8"/>
      <c r="C14" s="8"/>
      <c r="D14" s="8"/>
      <c r="E14" s="15" t="s">
        <v>6</v>
      </c>
      <c r="F14" s="15" t="s">
        <v>7</v>
      </c>
      <c r="G14" s="16" t="s">
        <v>62</v>
      </c>
      <c r="H14" s="9" t="s">
        <v>63</v>
      </c>
      <c r="I14" s="17" t="s">
        <v>64</v>
      </c>
      <c r="J14"/>
      <c r="K14"/>
      <c r="L14"/>
    </row>
    <row r="15" spans="1:12" ht="15" x14ac:dyDescent="0.25">
      <c r="G15" s="10"/>
      <c r="J15"/>
      <c r="K15"/>
      <c r="L15"/>
    </row>
    <row r="16" spans="1:12" ht="15" x14ac:dyDescent="0.25">
      <c r="A16" s="9">
        <v>1</v>
      </c>
      <c r="C16" s="8" t="s">
        <v>65</v>
      </c>
      <c r="E16" s="18">
        <v>39.5</v>
      </c>
      <c r="F16" s="18">
        <v>39.200000000000003</v>
      </c>
      <c r="G16" s="18">
        <f>E16-F16</f>
        <v>0.29999999999999716</v>
      </c>
      <c r="H16" s="18">
        <f>'Utility Income'!I24</f>
        <v>3131.7259366999997</v>
      </c>
      <c r="I16" s="18">
        <f>H16*G16/365</f>
        <v>2.5740213178355917</v>
      </c>
      <c r="J16"/>
      <c r="K16"/>
      <c r="L16"/>
    </row>
    <row r="17" spans="1:12" ht="15" x14ac:dyDescent="0.25">
      <c r="A17" s="9">
        <f>A16+1</f>
        <v>2</v>
      </c>
      <c r="C17" s="8" t="s">
        <v>66</v>
      </c>
      <c r="E17" s="18">
        <v>39.5</v>
      </c>
      <c r="F17" s="18">
        <v>44.6</v>
      </c>
      <c r="G17" s="18">
        <f t="shared" ref="G17:G20" si="0">E17-F17</f>
        <v>-5.1000000000000014</v>
      </c>
      <c r="H17" s="18">
        <f>'Utility Income'!I25</f>
        <v>1053.9917479600003</v>
      </c>
      <c r="I17" s="18">
        <f t="shared" ref="I17:I20" si="1">H17*G17/365</f>
        <v>-14.727007985194529</v>
      </c>
      <c r="J17"/>
      <c r="K17"/>
      <c r="L17"/>
    </row>
    <row r="18" spans="1:12" ht="15" x14ac:dyDescent="0.25">
      <c r="A18" s="9">
        <f>A17+1</f>
        <v>3</v>
      </c>
      <c r="C18" s="8" t="s">
        <v>67</v>
      </c>
      <c r="E18" s="18">
        <v>39.5</v>
      </c>
      <c r="F18" s="18">
        <v>-17.5</v>
      </c>
      <c r="G18" s="18">
        <f t="shared" si="0"/>
        <v>57</v>
      </c>
      <c r="H18" s="18">
        <f>'Utility Income'!I29</f>
        <v>125.583</v>
      </c>
      <c r="I18" s="18">
        <f t="shared" si="1"/>
        <v>19.611591780821918</v>
      </c>
      <c r="J18"/>
      <c r="K18"/>
      <c r="L18"/>
    </row>
    <row r="19" spans="1:12" ht="15" x14ac:dyDescent="0.25">
      <c r="A19" s="9">
        <f t="shared" ref="A19:A20" si="2">A18+1</f>
        <v>4</v>
      </c>
      <c r="C19" s="8" t="s">
        <v>68</v>
      </c>
      <c r="E19" s="18">
        <v>39.5</v>
      </c>
      <c r="F19" s="18">
        <v>11.5</v>
      </c>
      <c r="G19" s="18">
        <f>E19-F19+0.1</f>
        <v>28.1</v>
      </c>
      <c r="H19" s="18">
        <f>'Income Taxes'!E42</f>
        <v>405.9</v>
      </c>
      <c r="I19" s="18">
        <f>H19*G19/365+0.1</f>
        <v>31.348739726027397</v>
      </c>
      <c r="J19"/>
      <c r="K19"/>
      <c r="L19"/>
    </row>
    <row r="20" spans="1:12" ht="15" x14ac:dyDescent="0.25">
      <c r="A20" s="9">
        <f t="shared" si="2"/>
        <v>5</v>
      </c>
      <c r="C20" s="8" t="s">
        <v>69</v>
      </c>
      <c r="E20" s="18">
        <v>39.5</v>
      </c>
      <c r="F20" s="18">
        <v>15.2</v>
      </c>
      <c r="G20" s="18">
        <f t="shared" si="0"/>
        <v>24.3</v>
      </c>
      <c r="H20" s="19">
        <f>-'Utility Income'!I35</f>
        <v>93.617179279226661</v>
      </c>
      <c r="I20" s="19">
        <f t="shared" si="1"/>
        <v>6.2325957711923499</v>
      </c>
      <c r="J20"/>
      <c r="K20"/>
      <c r="L20"/>
    </row>
    <row r="21" spans="1:12" ht="15" x14ac:dyDescent="0.25">
      <c r="A21" s="9"/>
      <c r="E21" s="18"/>
      <c r="F21" s="18"/>
      <c r="G21" s="18"/>
      <c r="H21" s="18">
        <f>SUM(H16:H20)</f>
        <v>4810.8178639392254</v>
      </c>
      <c r="I21" s="18">
        <f>SUM(I15:I20)</f>
        <v>45.039940610682727</v>
      </c>
      <c r="J21"/>
      <c r="K21"/>
      <c r="L21"/>
    </row>
    <row r="22" spans="1:12" ht="15" x14ac:dyDescent="0.25">
      <c r="A22" s="9"/>
      <c r="E22" s="18"/>
      <c r="F22" s="18"/>
      <c r="G22" s="18"/>
      <c r="H22" s="18"/>
      <c r="I22" s="18"/>
      <c r="J22"/>
      <c r="K22"/>
      <c r="L22"/>
    </row>
    <row r="23" spans="1:12" ht="15" x14ac:dyDescent="0.25">
      <c r="A23" s="9">
        <f>A20+1</f>
        <v>6</v>
      </c>
      <c r="C23" s="8" t="s">
        <v>70</v>
      </c>
      <c r="E23" s="18"/>
      <c r="F23" s="18"/>
      <c r="G23" s="18">
        <v>6.3</v>
      </c>
      <c r="H23" s="18">
        <v>543.53</v>
      </c>
      <c r="I23" s="18">
        <f>(H23*G23)/365</f>
        <v>9.3814767123287659</v>
      </c>
      <c r="J23"/>
      <c r="K23"/>
      <c r="L23"/>
    </row>
    <row r="24" spans="1:12" ht="15" x14ac:dyDescent="0.25">
      <c r="A24" s="9"/>
      <c r="E24" s="18"/>
      <c r="F24" s="18"/>
      <c r="G24" s="18"/>
      <c r="H24" s="18"/>
      <c r="I24" s="18"/>
      <c r="J24"/>
      <c r="K24"/>
      <c r="L24"/>
    </row>
    <row r="25" spans="1:12" ht="15" x14ac:dyDescent="0.25">
      <c r="A25" s="9">
        <f>A23+1</f>
        <v>7</v>
      </c>
      <c r="C25" s="8" t="s">
        <v>71</v>
      </c>
      <c r="E25" s="18"/>
      <c r="F25" s="18"/>
      <c r="G25" s="18">
        <v>-24.3</v>
      </c>
      <c r="H25" s="18">
        <v>2775.3</v>
      </c>
      <c r="I25" s="18">
        <f>(H25*G25)/365</f>
        <v>-184.7665479452055</v>
      </c>
      <c r="J25"/>
      <c r="K25"/>
      <c r="L25"/>
    </row>
    <row r="26" spans="1:12" ht="15" x14ac:dyDescent="0.25">
      <c r="A26" s="9"/>
      <c r="E26" s="10"/>
      <c r="F26" s="10"/>
      <c r="G26" s="18"/>
      <c r="H26" s="10"/>
      <c r="I26" s="18"/>
      <c r="J26"/>
      <c r="K26"/>
      <c r="L26"/>
    </row>
    <row r="27" spans="1:12" ht="15.75" thickBot="1" x14ac:dyDescent="0.3">
      <c r="A27" s="9">
        <f>A25+1</f>
        <v>8</v>
      </c>
      <c r="C27" s="8" t="s">
        <v>72</v>
      </c>
      <c r="E27" s="10"/>
      <c r="F27" s="10"/>
      <c r="G27" s="18"/>
      <c r="H27" s="10"/>
      <c r="I27" s="20">
        <f>SUM(I21,I23,I25)-0.1</f>
        <v>-130.445130622194</v>
      </c>
      <c r="J27"/>
      <c r="K27"/>
      <c r="L27"/>
    </row>
    <row r="28" spans="1:12" ht="15.75" thickTop="1" x14ac:dyDescent="0.25">
      <c r="J28"/>
      <c r="K28"/>
      <c r="L28"/>
    </row>
    <row r="29" spans="1:12" ht="15" x14ac:dyDescent="0.25">
      <c r="A29" s="3"/>
      <c r="J29"/>
      <c r="K29"/>
      <c r="L29"/>
    </row>
    <row r="30" spans="1:12" ht="15" x14ac:dyDescent="0.25">
      <c r="A30" s="21"/>
      <c r="J30"/>
      <c r="K30"/>
      <c r="L30"/>
    </row>
    <row r="31" spans="1:12" ht="15" x14ac:dyDescent="0.25">
      <c r="J31"/>
      <c r="K31"/>
      <c r="L31"/>
    </row>
    <row r="32" spans="1:12" ht="15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 s="9"/>
      <c r="E34" s="10"/>
      <c r="F34" s="10"/>
    </row>
    <row r="35" spans="1:12" x14ac:dyDescent="0.2">
      <c r="A35" s="9"/>
      <c r="E35" s="10"/>
      <c r="F35" s="10"/>
    </row>
    <row r="37" spans="1:12" x14ac:dyDescent="0.2">
      <c r="A37" s="3"/>
    </row>
    <row r="38" spans="1:12" x14ac:dyDescent="0.2">
      <c r="A38" s="11"/>
    </row>
  </sheetData>
  <sheetProtection selectLockedCells="1"/>
  <mergeCells count="1">
    <mergeCell ref="H10:I10"/>
  </mergeCells>
  <pageMargins left="0.7" right="0.7" top="0.75" bottom="0.75" header="0.3" footer="0.3"/>
  <pageSetup orientation="landscape" r:id="rId1"/>
  <headerFooter>
    <oddHeader>&amp;R&amp;"Arial,Regular"&amp;10Filed: 2024-02-16
EB-2022-0200
Rate Order
Working Papers
Schedule 3
Page 1 of 1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4F10-1005-45B6-9CB6-BB1B9ECE75EB}">
  <sheetPr codeName="Sheet3">
    <tabColor theme="9" tint="0.59999389629810485"/>
  </sheetPr>
  <dimension ref="A6:J32"/>
  <sheetViews>
    <sheetView view="pageLayout" topLeftCell="A2" zoomScale="90" zoomScaleNormal="100" zoomScalePageLayoutView="90" workbookViewId="0">
      <selection activeCell="G35" sqref="G35"/>
    </sheetView>
  </sheetViews>
  <sheetFormatPr defaultColWidth="101.140625" defaultRowHeight="12.75" x14ac:dyDescent="0.2"/>
  <cols>
    <col min="1" max="1" width="5.5703125" style="8" bestFit="1" customWidth="1"/>
    <col min="2" max="2" width="1.42578125" style="8" customWidth="1"/>
    <col min="3" max="3" width="34.5703125" style="8" customWidth="1"/>
    <col min="4" max="4" width="1.42578125" style="8" customWidth="1"/>
    <col min="5" max="9" width="14" style="8" customWidth="1"/>
    <col min="10" max="16384" width="101.140625" style="8"/>
  </cols>
  <sheetData>
    <row r="6" spans="1:10" s="2" customForma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</row>
    <row r="7" spans="1:10" s="2" customFormat="1" x14ac:dyDescent="0.2">
      <c r="A7" s="1" t="s">
        <v>73</v>
      </c>
      <c r="B7" s="1"/>
      <c r="C7" s="1"/>
      <c r="D7" s="1"/>
      <c r="E7" s="1"/>
      <c r="F7" s="1"/>
      <c r="G7" s="1"/>
      <c r="H7" s="1"/>
      <c r="I7" s="1"/>
    </row>
    <row r="8" spans="1:10" x14ac:dyDescent="0.2">
      <c r="A8" s="1" t="s">
        <v>2</v>
      </c>
      <c r="B8" s="12"/>
      <c r="C8" s="12"/>
      <c r="D8" s="12"/>
      <c r="E8" s="12"/>
      <c r="F8" s="12"/>
      <c r="G8" s="12"/>
      <c r="H8" s="12"/>
      <c r="I8" s="12"/>
    </row>
    <row r="9" spans="1:10" s="3" customFormat="1" x14ac:dyDescent="0.2">
      <c r="E9" s="4"/>
      <c r="F9" s="4"/>
      <c r="G9" s="4"/>
      <c r="H9" s="4"/>
      <c r="I9" s="4"/>
    </row>
    <row r="10" spans="1:10" s="6" customFormat="1" ht="38.25" x14ac:dyDescent="0.2">
      <c r="A10" s="5" t="s">
        <v>3</v>
      </c>
      <c r="C10" s="7" t="s">
        <v>4</v>
      </c>
      <c r="E10" s="5" t="s">
        <v>74</v>
      </c>
      <c r="F10" s="5" t="s">
        <v>75</v>
      </c>
      <c r="G10" s="5" t="s">
        <v>76</v>
      </c>
      <c r="H10" s="5" t="s">
        <v>77</v>
      </c>
      <c r="I10" s="5" t="s">
        <v>78</v>
      </c>
    </row>
    <row r="11" spans="1:10" x14ac:dyDescent="0.2">
      <c r="E11" s="9" t="s">
        <v>6</v>
      </c>
      <c r="F11" s="9" t="s">
        <v>7</v>
      </c>
      <c r="G11" s="9" t="s">
        <v>79</v>
      </c>
      <c r="H11" s="9" t="s">
        <v>63</v>
      </c>
      <c r="I11" s="9" t="s">
        <v>80</v>
      </c>
    </row>
    <row r="12" spans="1:10" x14ac:dyDescent="0.2">
      <c r="E12" s="9"/>
      <c r="F12" s="9"/>
      <c r="G12" s="9"/>
      <c r="H12" s="9"/>
      <c r="I12" s="9"/>
    </row>
    <row r="13" spans="1:10" x14ac:dyDescent="0.2">
      <c r="C13" s="3" t="s">
        <v>81</v>
      </c>
      <c r="E13" s="9"/>
      <c r="F13" s="9"/>
      <c r="G13" s="9"/>
      <c r="H13" s="9"/>
      <c r="I13" s="9"/>
    </row>
    <row r="14" spans="1:10" x14ac:dyDescent="0.2">
      <c r="I14" s="18"/>
    </row>
    <row r="15" spans="1:10" x14ac:dyDescent="0.2">
      <c r="A15" s="9">
        <v>1</v>
      </c>
      <c r="C15" s="8" t="s">
        <v>82</v>
      </c>
      <c r="E15" s="18">
        <v>24736.3</v>
      </c>
      <c r="F15" s="18">
        <f>G15-E15</f>
        <v>-431.70000000000073</v>
      </c>
      <c r="G15" s="18">
        <v>24304.6</v>
      </c>
      <c r="H15" s="18">
        <f>I15-G15</f>
        <v>-263</v>
      </c>
      <c r="I15" s="18">
        <v>24041.599999999999</v>
      </c>
      <c r="J15" s="110"/>
    </row>
    <row r="16" spans="1:10" x14ac:dyDescent="0.2">
      <c r="A16" s="9">
        <v>2</v>
      </c>
      <c r="C16" s="8" t="s">
        <v>83</v>
      </c>
      <c r="E16" s="18">
        <v>-9081</v>
      </c>
      <c r="F16" s="18">
        <f>G16-E16</f>
        <v>21.200000000000728</v>
      </c>
      <c r="G16" s="18">
        <v>-9059.7999999999993</v>
      </c>
      <c r="H16" s="18">
        <f>I16-G16</f>
        <v>175.29999999999927</v>
      </c>
      <c r="I16" s="18">
        <v>-8884.5</v>
      </c>
      <c r="J16" s="110"/>
    </row>
    <row r="17" spans="1:9" x14ac:dyDescent="0.2">
      <c r="A17" s="9">
        <v>3</v>
      </c>
      <c r="C17" s="8" t="s">
        <v>84</v>
      </c>
      <c r="E17" s="25">
        <f>E15+E16</f>
        <v>15655.3</v>
      </c>
      <c r="F17" s="25">
        <f>G17-E17</f>
        <v>-410.5</v>
      </c>
      <c r="G17" s="25">
        <f>G15+G16</f>
        <v>15244.8</v>
      </c>
      <c r="H17" s="25">
        <f>H15+H16</f>
        <v>-87.700000000000728</v>
      </c>
      <c r="I17" s="25">
        <f>I15+I16</f>
        <v>15157.099999999999</v>
      </c>
    </row>
    <row r="18" spans="1:9" x14ac:dyDescent="0.2">
      <c r="A18" s="9"/>
      <c r="E18" s="18"/>
      <c r="F18" s="10"/>
      <c r="G18" s="18"/>
      <c r="H18" s="10"/>
      <c r="I18" s="10"/>
    </row>
    <row r="19" spans="1:9" x14ac:dyDescent="0.2">
      <c r="A19" s="9"/>
      <c r="C19" s="3" t="s">
        <v>85</v>
      </c>
      <c r="E19" s="18"/>
      <c r="F19" s="10"/>
      <c r="G19" s="18"/>
      <c r="H19" s="10"/>
      <c r="I19" s="10"/>
    </row>
    <row r="20" spans="1:9" x14ac:dyDescent="0.2">
      <c r="A20" s="9"/>
      <c r="E20" s="18"/>
      <c r="F20" s="10"/>
      <c r="G20" s="18"/>
      <c r="H20" s="10"/>
      <c r="I20" s="10"/>
    </row>
    <row r="21" spans="1:9" x14ac:dyDescent="0.2">
      <c r="A21" s="9">
        <v>4</v>
      </c>
      <c r="C21" s="8" t="s">
        <v>86</v>
      </c>
      <c r="E21" s="18">
        <v>107</v>
      </c>
      <c r="F21" s="18">
        <v>0</v>
      </c>
      <c r="G21" s="18">
        <v>107</v>
      </c>
      <c r="H21" s="18">
        <v>0</v>
      </c>
      <c r="I21" s="18">
        <f>SUM(G21:H21)</f>
        <v>107</v>
      </c>
    </row>
    <row r="22" spans="1:9" x14ac:dyDescent="0.2">
      <c r="A22" s="9">
        <v>5</v>
      </c>
      <c r="C22" s="8" t="s">
        <v>87</v>
      </c>
      <c r="E22" s="18">
        <v>-5.0999999999999996</v>
      </c>
      <c r="F22" s="18">
        <v>0</v>
      </c>
      <c r="G22" s="18">
        <v>-5.0999999999999996</v>
      </c>
      <c r="H22" s="18">
        <v>0</v>
      </c>
      <c r="I22" s="18">
        <f t="shared" ref="I22:I26" si="0">SUM(G22:H22)</f>
        <v>-5.0999999999999996</v>
      </c>
    </row>
    <row r="23" spans="1:9" x14ac:dyDescent="0.2">
      <c r="A23" s="9">
        <v>6</v>
      </c>
      <c r="C23" s="8" t="s">
        <v>88</v>
      </c>
      <c r="E23" s="18">
        <v>-60.2</v>
      </c>
      <c r="F23" s="18">
        <v>0</v>
      </c>
      <c r="G23" s="18">
        <v>-60.2</v>
      </c>
      <c r="H23" s="18">
        <v>0</v>
      </c>
      <c r="I23" s="18">
        <f t="shared" si="0"/>
        <v>-60.2</v>
      </c>
    </row>
    <row r="24" spans="1:9" x14ac:dyDescent="0.2">
      <c r="A24" s="9">
        <v>7</v>
      </c>
      <c r="C24" s="8" t="s">
        <v>89</v>
      </c>
      <c r="E24" s="18">
        <v>0</v>
      </c>
      <c r="F24" s="18">
        <v>0</v>
      </c>
      <c r="G24" s="18">
        <v>0</v>
      </c>
      <c r="H24" s="18">
        <v>0</v>
      </c>
      <c r="I24" s="18">
        <f t="shared" si="0"/>
        <v>0</v>
      </c>
    </row>
    <row r="25" spans="1:9" x14ac:dyDescent="0.2">
      <c r="A25" s="9">
        <v>8</v>
      </c>
      <c r="C25" s="8" t="s">
        <v>90</v>
      </c>
      <c r="E25" s="18">
        <v>0</v>
      </c>
      <c r="F25" s="18">
        <v>0</v>
      </c>
      <c r="G25" s="18">
        <v>0</v>
      </c>
      <c r="H25" s="18">
        <v>0</v>
      </c>
      <c r="I25" s="18">
        <f t="shared" si="0"/>
        <v>0</v>
      </c>
    </row>
    <row r="26" spans="1:9" x14ac:dyDescent="0.2">
      <c r="A26" s="9">
        <v>9</v>
      </c>
      <c r="C26" s="8" t="s">
        <v>91</v>
      </c>
      <c r="E26" s="18">
        <v>648.4</v>
      </c>
      <c r="F26" s="18">
        <v>0</v>
      </c>
      <c r="G26" s="18">
        <v>648.4</v>
      </c>
      <c r="H26" s="18">
        <v>0</v>
      </c>
      <c r="I26" s="18">
        <f t="shared" si="0"/>
        <v>648.4</v>
      </c>
    </row>
    <row r="27" spans="1:9" x14ac:dyDescent="0.2">
      <c r="A27" s="9">
        <v>10</v>
      </c>
      <c r="C27" s="8" t="s">
        <v>92</v>
      </c>
      <c r="E27" s="18">
        <v>-133.1</v>
      </c>
      <c r="F27" s="18">
        <v>0</v>
      </c>
      <c r="G27" s="18">
        <v>-133.1</v>
      </c>
      <c r="H27" s="18">
        <f>I27-G27</f>
        <v>2.6548693778059942</v>
      </c>
      <c r="I27" s="18">
        <f>'Working Cash'!I27</f>
        <v>-130.445130622194</v>
      </c>
    </row>
    <row r="28" spans="1:9" x14ac:dyDescent="0.2">
      <c r="A28" s="9"/>
      <c r="E28" s="18"/>
      <c r="F28" s="10"/>
      <c r="G28" s="18"/>
      <c r="H28" s="10"/>
      <c r="I28" s="10"/>
    </row>
    <row r="29" spans="1:9" x14ac:dyDescent="0.2">
      <c r="A29" s="9">
        <v>11</v>
      </c>
      <c r="C29" s="8" t="s">
        <v>93</v>
      </c>
      <c r="E29" s="25">
        <f>SUM(E21:E28)</f>
        <v>557</v>
      </c>
      <c r="F29" s="25">
        <f>SUM(F21:F28)</f>
        <v>0</v>
      </c>
      <c r="G29" s="25">
        <f>SUM(G21:G28)</f>
        <v>557</v>
      </c>
      <c r="H29" s="25">
        <f t="shared" ref="H29:I29" si="1">SUM(H21:H28)</f>
        <v>2.6548693778059942</v>
      </c>
      <c r="I29" s="25">
        <f t="shared" si="1"/>
        <v>559.65486937780599</v>
      </c>
    </row>
    <row r="30" spans="1:9" x14ac:dyDescent="0.2">
      <c r="A30" s="9"/>
      <c r="E30" s="18"/>
      <c r="F30" s="10"/>
      <c r="G30" s="18"/>
      <c r="H30" s="10"/>
      <c r="I30" s="10"/>
    </row>
    <row r="31" spans="1:9" ht="13.5" thickBot="1" x14ac:dyDescent="0.25">
      <c r="A31" s="9">
        <v>12</v>
      </c>
      <c r="C31" s="8" t="s">
        <v>94</v>
      </c>
      <c r="E31" s="20">
        <f>E29+E17</f>
        <v>16212.3</v>
      </c>
      <c r="F31" s="20">
        <f>F29+F17</f>
        <v>-410.5</v>
      </c>
      <c r="G31" s="20">
        <f>G29+G17</f>
        <v>15801.8</v>
      </c>
      <c r="H31" s="20">
        <f t="shared" ref="H31" si="2">H29+H17</f>
        <v>-85.045130622194733</v>
      </c>
      <c r="I31" s="20">
        <f>I29+I17</f>
        <v>15716.754869377804</v>
      </c>
    </row>
    <row r="32" spans="1:9" ht="13.5" thickTop="1" x14ac:dyDescent="0.2"/>
  </sheetData>
  <sheetProtection selectLockedCells="1"/>
  <pageMargins left="0.7" right="0.7" top="0.75" bottom="0.75" header="0.3" footer="0.3"/>
  <pageSetup orientation="landscape" r:id="rId1"/>
  <headerFooter>
    <oddHeader>&amp;R&amp;"Arial,Regular"&amp;10Filed: 2024-02-16
EB-2022-0200
Rate Order
Working Papers
Schedule 2
Page 1 of 1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8170-0619-4847-A660-1FF17C50EE64}">
  <sheetPr codeName="Sheet4">
    <tabColor theme="9" tint="0.59999389629810485"/>
    <pageSetUpPr fitToPage="1"/>
  </sheetPr>
  <dimension ref="B1:R30"/>
  <sheetViews>
    <sheetView view="pageLayout" zoomScaleNormal="100" workbookViewId="0">
      <selection activeCell="J7" sqref="J7"/>
    </sheetView>
  </sheetViews>
  <sheetFormatPr defaultColWidth="9.140625" defaultRowHeight="12.75" x14ac:dyDescent="0.2"/>
  <cols>
    <col min="1" max="1" width="9.140625" style="8"/>
    <col min="2" max="2" width="6.140625" style="8" customWidth="1"/>
    <col min="3" max="3" width="1.5703125" style="8" customWidth="1"/>
    <col min="4" max="4" width="28.42578125" style="8" customWidth="1"/>
    <col min="5" max="5" width="1.5703125" style="8" customWidth="1"/>
    <col min="6" max="6" width="16.42578125" style="8" customWidth="1"/>
    <col min="7" max="7" width="12.5703125" style="8" customWidth="1"/>
    <col min="8" max="17" width="6.42578125" style="8" customWidth="1"/>
    <col min="18" max="16384" width="9.140625" style="8"/>
  </cols>
  <sheetData>
    <row r="1" spans="2:18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8" ht="42.6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2:18" ht="15" customHeight="1" x14ac:dyDescent="0.2">
      <c r="B3" s="183" t="s">
        <v>0</v>
      </c>
      <c r="C3" s="183"/>
      <c r="D3" s="183"/>
      <c r="E3" s="183"/>
      <c r="F3" s="183"/>
      <c r="G3" s="18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5" customHeight="1" x14ac:dyDescent="0.2">
      <c r="B4" s="183" t="s">
        <v>95</v>
      </c>
      <c r="C4" s="183"/>
      <c r="D4" s="183"/>
      <c r="E4" s="183"/>
      <c r="F4" s="183"/>
      <c r="G4" s="18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15" customHeight="1" x14ac:dyDescent="0.2">
      <c r="B5" s="183" t="s">
        <v>2</v>
      </c>
      <c r="C5" s="183"/>
      <c r="D5" s="183"/>
      <c r="E5" s="183"/>
      <c r="F5" s="183"/>
      <c r="G5" s="18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7" spans="2:18" x14ac:dyDescent="0.2">
      <c r="B7" s="37"/>
      <c r="C7" s="37"/>
      <c r="D7" s="37"/>
      <c r="E7" s="37"/>
      <c r="F7" s="40"/>
      <c r="G7" s="40"/>
    </row>
    <row r="8" spans="2:18" x14ac:dyDescent="0.2">
      <c r="B8" s="40" t="s">
        <v>96</v>
      </c>
      <c r="C8" s="37"/>
      <c r="D8" s="37"/>
      <c r="E8" s="37"/>
      <c r="F8" s="40" t="s">
        <v>97</v>
      </c>
      <c r="G8" s="40" t="s">
        <v>98</v>
      </c>
    </row>
    <row r="9" spans="2:18" ht="14.25" x14ac:dyDescent="0.2">
      <c r="B9" s="39" t="s">
        <v>99</v>
      </c>
      <c r="C9" s="37" t="s">
        <v>100</v>
      </c>
      <c r="D9" s="38" t="s">
        <v>101</v>
      </c>
      <c r="E9" s="37" t="s">
        <v>100</v>
      </c>
      <c r="F9" s="77" t="s">
        <v>102</v>
      </c>
      <c r="G9" s="39" t="s">
        <v>103</v>
      </c>
    </row>
    <row r="10" spans="2:18" x14ac:dyDescent="0.2">
      <c r="B10" s="37"/>
      <c r="C10" s="37"/>
      <c r="D10" s="37"/>
      <c r="E10" s="37"/>
      <c r="F10" s="76" t="s">
        <v>6</v>
      </c>
      <c r="G10" s="76" t="s">
        <v>7</v>
      </c>
    </row>
    <row r="11" spans="2:18" x14ac:dyDescent="0.2">
      <c r="B11" s="37"/>
      <c r="C11" s="37"/>
      <c r="D11" s="37"/>
      <c r="E11" s="37"/>
      <c r="F11" s="37"/>
      <c r="G11" s="37"/>
    </row>
    <row r="12" spans="2:18" x14ac:dyDescent="0.2">
      <c r="B12" s="40">
        <v>1</v>
      </c>
      <c r="C12" s="68"/>
      <c r="D12" s="69" t="s">
        <v>104</v>
      </c>
      <c r="E12" s="37"/>
      <c r="F12" s="73">
        <v>3605248.0538311671</v>
      </c>
      <c r="G12" s="44">
        <v>819.74201670335628</v>
      </c>
    </row>
    <row r="13" spans="2:18" x14ac:dyDescent="0.2">
      <c r="B13" s="40">
        <v>2</v>
      </c>
      <c r="C13" s="68"/>
      <c r="D13" s="69" t="s">
        <v>105</v>
      </c>
      <c r="E13" s="37"/>
      <c r="F13" s="73">
        <v>3121952.8889400484</v>
      </c>
      <c r="G13" s="44">
        <v>663.36924701891701</v>
      </c>
    </row>
    <row r="14" spans="2:18" x14ac:dyDescent="0.2">
      <c r="B14" s="40">
        <v>3</v>
      </c>
      <c r="D14" s="37" t="s">
        <v>106</v>
      </c>
      <c r="E14" s="37"/>
      <c r="F14" s="73">
        <v>2443925.6169982632</v>
      </c>
      <c r="G14" s="44">
        <v>519.97259026853749</v>
      </c>
    </row>
    <row r="15" spans="2:18" x14ac:dyDescent="0.2">
      <c r="B15" s="40">
        <v>4</v>
      </c>
      <c r="D15" s="37" t="s">
        <v>107</v>
      </c>
      <c r="E15" s="37"/>
      <c r="F15" s="73">
        <v>1448334.9711673479</v>
      </c>
      <c r="G15" s="44">
        <v>311.3528743844314</v>
      </c>
    </row>
    <row r="16" spans="2:18" x14ac:dyDescent="0.2">
      <c r="B16" s="40">
        <v>5</v>
      </c>
      <c r="D16" s="37" t="s">
        <v>108</v>
      </c>
      <c r="E16" s="37"/>
      <c r="F16" s="73">
        <v>1161578.4318560816</v>
      </c>
      <c r="G16" s="44">
        <v>251.08205642428572</v>
      </c>
    </row>
    <row r="17" spans="2:7" x14ac:dyDescent="0.2">
      <c r="B17" s="40">
        <v>6</v>
      </c>
      <c r="D17" s="37" t="s">
        <v>109</v>
      </c>
      <c r="E17" s="37"/>
      <c r="F17" s="73">
        <v>1543706.4995272593</v>
      </c>
      <c r="G17" s="44">
        <v>331.37238667908377</v>
      </c>
    </row>
    <row r="18" spans="2:7" x14ac:dyDescent="0.2">
      <c r="B18" s="40">
        <v>7</v>
      </c>
      <c r="D18" s="37" t="s">
        <v>110</v>
      </c>
      <c r="E18" s="37"/>
      <c r="F18" s="73">
        <v>2392862.2500990722</v>
      </c>
      <c r="G18" s="44">
        <v>509.0393428498499</v>
      </c>
    </row>
    <row r="19" spans="2:7" x14ac:dyDescent="0.2">
      <c r="B19" s="40">
        <v>8</v>
      </c>
      <c r="D19" s="37" t="s">
        <v>111</v>
      </c>
      <c r="E19" s="37"/>
      <c r="F19" s="73">
        <v>3138376.2868948956</v>
      </c>
      <c r="G19" s="44">
        <v>665.50611263546216</v>
      </c>
    </row>
    <row r="20" spans="2:7" x14ac:dyDescent="0.2">
      <c r="B20" s="40">
        <v>9</v>
      </c>
      <c r="D20" s="37" t="s">
        <v>112</v>
      </c>
      <c r="E20" s="37"/>
      <c r="F20" s="73">
        <v>3665667.0760156037</v>
      </c>
      <c r="G20" s="44">
        <v>776.69375800437274</v>
      </c>
    </row>
    <row r="21" spans="2:7" x14ac:dyDescent="0.2">
      <c r="B21" s="40">
        <v>10</v>
      </c>
      <c r="D21" s="37" t="s">
        <v>113</v>
      </c>
      <c r="E21" s="37"/>
      <c r="F21" s="73">
        <v>4412184.5453354623</v>
      </c>
      <c r="G21" s="44">
        <v>933.21833032450786</v>
      </c>
    </row>
    <row r="22" spans="2:7" x14ac:dyDescent="0.2">
      <c r="B22" s="40">
        <v>11</v>
      </c>
      <c r="D22" s="37" t="s">
        <v>114</v>
      </c>
      <c r="E22" s="37"/>
      <c r="F22" s="73">
        <v>4835203.8578571901</v>
      </c>
      <c r="G22" s="44">
        <v>1021.701206956105</v>
      </c>
    </row>
    <row r="23" spans="2:7" x14ac:dyDescent="0.2">
      <c r="B23" s="40">
        <v>12</v>
      </c>
      <c r="D23" s="37" t="s">
        <v>115</v>
      </c>
      <c r="E23" s="37"/>
      <c r="F23" s="73">
        <v>4518426.0333203953</v>
      </c>
      <c r="G23" s="44">
        <v>955.2291880816623</v>
      </c>
    </row>
    <row r="24" spans="2:7" x14ac:dyDescent="0.2">
      <c r="B24" s="40">
        <v>13</v>
      </c>
      <c r="D24" s="37" t="s">
        <v>116</v>
      </c>
      <c r="E24" s="37" t="s">
        <v>100</v>
      </c>
      <c r="F24" s="74">
        <v>4095092.202381264</v>
      </c>
      <c r="G24" s="71">
        <v>865.05379547829898</v>
      </c>
    </row>
    <row r="25" spans="2:7" x14ac:dyDescent="0.2">
      <c r="B25" s="37"/>
      <c r="C25" s="37"/>
      <c r="D25" s="37"/>
      <c r="E25" s="37"/>
      <c r="F25" s="73"/>
      <c r="G25" s="44"/>
    </row>
    <row r="26" spans="2:7" x14ac:dyDescent="0.2">
      <c r="B26" s="37"/>
      <c r="C26" s="37"/>
      <c r="D26" s="37"/>
      <c r="E26" s="37"/>
      <c r="F26" s="73"/>
      <c r="G26" s="44"/>
    </row>
    <row r="27" spans="2:7" ht="13.5" thickBot="1" x14ac:dyDescent="0.25">
      <c r="B27" s="40">
        <v>14</v>
      </c>
      <c r="D27" s="37" t="s">
        <v>117</v>
      </c>
      <c r="E27" s="37"/>
      <c r="F27" s="75">
        <f>ROUND((((SUM(F13:F23)*2)+(F12+F24)))/24,1)</f>
        <v>3044365.7</v>
      </c>
      <c r="G27" s="72">
        <v>648.4</v>
      </c>
    </row>
    <row r="28" spans="2:7" ht="13.5" thickTop="1" x14ac:dyDescent="0.2"/>
    <row r="29" spans="2:7" x14ac:dyDescent="0.2">
      <c r="B29" s="3"/>
    </row>
    <row r="30" spans="2:7" x14ac:dyDescent="0.2">
      <c r="B30" s="21"/>
    </row>
  </sheetData>
  <sheetProtection selectLockedCells="1"/>
  <mergeCells count="3">
    <mergeCell ref="B5:G5"/>
    <mergeCell ref="B4:G4"/>
    <mergeCell ref="B3:G3"/>
  </mergeCells>
  <pageMargins left="0.7" right="0.7" top="0.75" bottom="0.75" header="0.3" footer="0.3"/>
  <pageSetup fitToHeight="0" orientation="portrait" r:id="rId1"/>
  <headerFooter>
    <oddHeader>&amp;R&amp;"Arial,Regular"&amp;10Filed: 2024-02-16
EB-2022-0200
Rate Order
Working Papers
Schedule 4
Page 1 of 1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C4F0-5ADD-4C1E-9D6F-43302E3E3EBE}">
  <sheetPr codeName="Sheet5">
    <tabColor theme="9" tint="0.59999389629810485"/>
  </sheetPr>
  <dimension ref="A3:J32"/>
  <sheetViews>
    <sheetView view="pageLayout" zoomScaleNormal="100" workbookViewId="0">
      <selection activeCell="H27" sqref="H27"/>
    </sheetView>
  </sheetViews>
  <sheetFormatPr defaultColWidth="101.140625" defaultRowHeight="12.75" x14ac:dyDescent="0.2"/>
  <cols>
    <col min="1" max="1" width="5.5703125" style="8" bestFit="1" customWidth="1"/>
    <col min="2" max="2" width="1.42578125" style="8" customWidth="1"/>
    <col min="3" max="3" width="34.5703125" style="8" customWidth="1"/>
    <col min="4" max="4" width="1.42578125" style="8" customWidth="1"/>
    <col min="5" max="10" width="12.5703125" style="8" customWidth="1"/>
    <col min="11" max="16384" width="101.140625" style="8"/>
  </cols>
  <sheetData>
    <row r="3" spans="1:10" s="3" customFormat="1" x14ac:dyDescent="0.2"/>
    <row r="4" spans="1:10" s="3" customFormat="1" x14ac:dyDescent="0.2"/>
    <row r="5" spans="1:10" s="3" customFormat="1" x14ac:dyDescent="0.2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 t="s">
        <v>118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F7" s="9"/>
      <c r="G7" s="9"/>
      <c r="H7" s="9"/>
    </row>
    <row r="8" spans="1:10" x14ac:dyDescent="0.2">
      <c r="A8" s="3"/>
      <c r="B8" s="3"/>
      <c r="C8" s="3"/>
      <c r="D8" s="3"/>
      <c r="E8" s="3"/>
      <c r="F8" s="4"/>
      <c r="G8" s="4"/>
      <c r="H8" s="4"/>
      <c r="I8" s="3"/>
      <c r="J8" s="4"/>
    </row>
    <row r="9" spans="1:10" ht="38.25" x14ac:dyDescent="0.2">
      <c r="A9" s="5" t="s">
        <v>3</v>
      </c>
      <c r="B9" s="6"/>
      <c r="C9" s="7" t="s">
        <v>4</v>
      </c>
      <c r="D9" s="6"/>
      <c r="E9" s="5" t="s">
        <v>119</v>
      </c>
      <c r="F9" s="5" t="s">
        <v>74</v>
      </c>
      <c r="G9" s="5" t="s">
        <v>75</v>
      </c>
      <c r="H9" s="5" t="s">
        <v>76</v>
      </c>
      <c r="I9" s="5" t="s">
        <v>77</v>
      </c>
      <c r="J9" s="5" t="s">
        <v>78</v>
      </c>
    </row>
    <row r="10" spans="1:10" x14ac:dyDescent="0.2">
      <c r="F10" s="9" t="s">
        <v>6</v>
      </c>
      <c r="G10" s="9" t="s">
        <v>7</v>
      </c>
      <c r="H10" s="9" t="s">
        <v>120</v>
      </c>
      <c r="I10" s="9" t="s">
        <v>63</v>
      </c>
      <c r="J10" s="9" t="s">
        <v>121</v>
      </c>
    </row>
    <row r="11" spans="1:10" s="2" customFormat="1" x14ac:dyDescent="0.2">
      <c r="A11" s="9"/>
      <c r="B11" s="8"/>
      <c r="C11" s="8"/>
      <c r="D11" s="8"/>
      <c r="E11" s="8"/>
      <c r="F11" s="9"/>
      <c r="G11" s="9"/>
      <c r="H11" s="9"/>
      <c r="I11" s="8"/>
      <c r="J11" s="10"/>
    </row>
    <row r="12" spans="1:10" s="2" customFormat="1" x14ac:dyDescent="0.2">
      <c r="A12" s="9">
        <v>1</v>
      </c>
      <c r="B12" s="8"/>
      <c r="C12" s="37" t="s">
        <v>122</v>
      </c>
      <c r="D12" s="8"/>
      <c r="E12" s="9" t="s">
        <v>123</v>
      </c>
      <c r="F12" s="9">
        <v>46.3</v>
      </c>
      <c r="G12" s="78">
        <v>-14.2</v>
      </c>
      <c r="H12" s="78">
        <v>32.1</v>
      </c>
      <c r="I12" s="78">
        <v>2.4</v>
      </c>
      <c r="J12" s="78">
        <v>34.6</v>
      </c>
    </row>
    <row r="13" spans="1:10" x14ac:dyDescent="0.2">
      <c r="A13" s="9">
        <v>2</v>
      </c>
      <c r="C13" s="37" t="s">
        <v>124</v>
      </c>
      <c r="E13" s="9" t="s">
        <v>125</v>
      </c>
      <c r="F13" s="9">
        <v>304.10000000000002</v>
      </c>
      <c r="G13" s="78">
        <v>-2.8</v>
      </c>
      <c r="H13" s="78">
        <v>301.3</v>
      </c>
      <c r="I13" s="78">
        <v>-77.2</v>
      </c>
      <c r="J13" s="78">
        <v>224.1</v>
      </c>
    </row>
    <row r="14" spans="1:10" s="3" customFormat="1" x14ac:dyDescent="0.2">
      <c r="A14" s="9">
        <v>3</v>
      </c>
      <c r="B14" s="8"/>
      <c r="C14" s="37" t="s">
        <v>126</v>
      </c>
      <c r="D14" s="8"/>
      <c r="E14" s="9" t="s">
        <v>127</v>
      </c>
      <c r="F14" s="9">
        <v>357.1</v>
      </c>
      <c r="G14" s="78">
        <v>-3.4</v>
      </c>
      <c r="H14" s="78">
        <v>353.7</v>
      </c>
      <c r="I14" s="78">
        <v>-86.1</v>
      </c>
      <c r="J14" s="78">
        <v>267.60000000000002</v>
      </c>
    </row>
    <row r="15" spans="1:10" s="6" customFormat="1" x14ac:dyDescent="0.2">
      <c r="A15" s="9">
        <v>4</v>
      </c>
      <c r="B15" s="8"/>
      <c r="C15" s="37" t="s">
        <v>128</v>
      </c>
      <c r="D15" s="8"/>
      <c r="E15" s="9" t="s">
        <v>127</v>
      </c>
      <c r="F15" s="9">
        <v>83.5</v>
      </c>
      <c r="G15" s="78">
        <v>-0.8</v>
      </c>
      <c r="H15" s="78">
        <v>82.7</v>
      </c>
      <c r="I15" s="78">
        <v>-24.7</v>
      </c>
      <c r="J15" s="78">
        <v>58</v>
      </c>
    </row>
    <row r="16" spans="1:10" x14ac:dyDescent="0.2">
      <c r="A16" s="9">
        <v>5</v>
      </c>
      <c r="C16" s="37" t="s">
        <v>129</v>
      </c>
      <c r="E16" s="9" t="s">
        <v>130</v>
      </c>
      <c r="F16" s="9">
        <v>31.5</v>
      </c>
      <c r="G16" s="78">
        <v>-0.3</v>
      </c>
      <c r="H16" s="78">
        <v>31.2</v>
      </c>
      <c r="I16" s="78">
        <v>-9.8000000000000007</v>
      </c>
      <c r="J16" s="78">
        <v>21.4</v>
      </c>
    </row>
    <row r="17" spans="1:10" x14ac:dyDescent="0.2">
      <c r="A17" s="9">
        <v>6</v>
      </c>
      <c r="C17" s="37" t="s">
        <v>131</v>
      </c>
      <c r="E17" s="9" t="s">
        <v>125</v>
      </c>
      <c r="F17" s="9">
        <v>85.2</v>
      </c>
      <c r="G17" s="78">
        <v>-0.8</v>
      </c>
      <c r="H17" s="78">
        <v>84.4</v>
      </c>
      <c r="I17" s="78">
        <v>-50.4</v>
      </c>
      <c r="J17" s="78">
        <v>34</v>
      </c>
    </row>
    <row r="18" spans="1:10" x14ac:dyDescent="0.2">
      <c r="A18" s="9">
        <v>7</v>
      </c>
      <c r="C18" s="37" t="s">
        <v>132</v>
      </c>
      <c r="E18" s="9" t="s">
        <v>130</v>
      </c>
      <c r="F18" s="9">
        <v>63</v>
      </c>
      <c r="G18" s="78">
        <v>-0.6</v>
      </c>
      <c r="H18" s="78">
        <v>62.4</v>
      </c>
      <c r="I18" s="78">
        <v>-6.8</v>
      </c>
      <c r="J18" s="78">
        <v>55.6</v>
      </c>
    </row>
    <row r="19" spans="1:10" x14ac:dyDescent="0.2">
      <c r="A19" s="9">
        <v>8</v>
      </c>
      <c r="C19" s="37" t="s">
        <v>133</v>
      </c>
      <c r="E19" s="9" t="s">
        <v>130</v>
      </c>
      <c r="F19" s="9">
        <v>102.4</v>
      </c>
      <c r="G19" s="78">
        <v>-0.9</v>
      </c>
      <c r="H19" s="78">
        <v>101.5</v>
      </c>
      <c r="I19" s="78">
        <v>-35.700000000000003</v>
      </c>
      <c r="J19" s="78">
        <v>65.8</v>
      </c>
    </row>
    <row r="20" spans="1:10" x14ac:dyDescent="0.2">
      <c r="A20" s="9">
        <v>9</v>
      </c>
      <c r="C20" s="37" t="s">
        <v>134</v>
      </c>
      <c r="E20" s="9" t="s">
        <v>123</v>
      </c>
      <c r="F20" s="9">
        <v>69.2</v>
      </c>
      <c r="G20" s="78">
        <v>-2.5</v>
      </c>
      <c r="H20" s="78">
        <v>66.7</v>
      </c>
      <c r="I20" s="78">
        <v>-26.5</v>
      </c>
      <c r="J20" s="78">
        <v>40.1</v>
      </c>
    </row>
    <row r="21" spans="1:10" x14ac:dyDescent="0.2">
      <c r="A21" s="9">
        <v>10</v>
      </c>
      <c r="C21" s="37" t="s">
        <v>135</v>
      </c>
      <c r="E21" s="9" t="s">
        <v>127</v>
      </c>
      <c r="F21" s="9">
        <v>152.30000000000001</v>
      </c>
      <c r="G21" s="78">
        <v>-1.4</v>
      </c>
      <c r="H21" s="78">
        <v>150.9</v>
      </c>
      <c r="I21" s="78">
        <v>14.2</v>
      </c>
      <c r="J21" s="78">
        <v>165</v>
      </c>
    </row>
    <row r="22" spans="1:10" x14ac:dyDescent="0.2">
      <c r="A22" s="9">
        <v>11</v>
      </c>
      <c r="C22" s="37" t="s">
        <v>136</v>
      </c>
      <c r="E22" s="9" t="s">
        <v>137</v>
      </c>
      <c r="F22" s="9">
        <v>39.799999999999997</v>
      </c>
      <c r="G22" s="11" t="s">
        <v>138</v>
      </c>
      <c r="H22" s="78">
        <v>39.799999999999997</v>
      </c>
      <c r="I22" s="78">
        <v>-0.5</v>
      </c>
      <c r="J22" s="78">
        <v>39.299999999999997</v>
      </c>
    </row>
    <row r="23" spans="1:10" x14ac:dyDescent="0.2">
      <c r="A23" s="9">
        <v>12</v>
      </c>
      <c r="C23" s="37" t="s">
        <v>139</v>
      </c>
      <c r="E23" s="9" t="s">
        <v>125</v>
      </c>
      <c r="F23" s="9">
        <v>11.2</v>
      </c>
      <c r="G23" s="11" t="s">
        <v>138</v>
      </c>
      <c r="H23" s="78">
        <v>11.2</v>
      </c>
      <c r="I23" s="11" t="s">
        <v>138</v>
      </c>
      <c r="J23" s="78">
        <v>11.2</v>
      </c>
    </row>
    <row r="24" spans="1:10" x14ac:dyDescent="0.2">
      <c r="A24" s="9">
        <v>13</v>
      </c>
      <c r="C24" s="37" t="s">
        <v>137</v>
      </c>
      <c r="E24" s="9" t="s">
        <v>137</v>
      </c>
      <c r="F24" s="9">
        <v>124.6</v>
      </c>
      <c r="G24" s="11" t="s">
        <v>138</v>
      </c>
      <c r="H24" s="78">
        <v>124.6</v>
      </c>
      <c r="I24" s="78" t="s">
        <v>138</v>
      </c>
      <c r="J24" s="78">
        <v>124.6</v>
      </c>
    </row>
    <row r="25" spans="1:10" x14ac:dyDescent="0.2">
      <c r="A25" s="9">
        <v>14</v>
      </c>
      <c r="C25" s="8" t="s">
        <v>140</v>
      </c>
      <c r="F25" s="20">
        <v>1470.3</v>
      </c>
      <c r="G25" s="20">
        <v>-27.7</v>
      </c>
      <c r="H25" s="20">
        <v>1442.5</v>
      </c>
      <c r="I25" s="20">
        <v>-301.10000000000002</v>
      </c>
      <c r="J25" s="20">
        <v>1141.4000000000001</v>
      </c>
    </row>
    <row r="26" spans="1:10" x14ac:dyDescent="0.2">
      <c r="F26" s="9"/>
      <c r="G26" s="9"/>
      <c r="H26" s="9"/>
    </row>
    <row r="27" spans="1:10" x14ac:dyDescent="0.2">
      <c r="F27" s="9"/>
      <c r="G27" s="9"/>
      <c r="H27" s="9"/>
    </row>
    <row r="28" spans="1:10" x14ac:dyDescent="0.2">
      <c r="A28" s="184" t="s">
        <v>26</v>
      </c>
      <c r="B28" s="184"/>
      <c r="F28" s="9"/>
      <c r="G28" s="9"/>
      <c r="H28" s="9"/>
    </row>
    <row r="29" spans="1:10" x14ac:dyDescent="0.2">
      <c r="A29" s="11" t="s">
        <v>27</v>
      </c>
      <c r="B29" s="2"/>
      <c r="C29" s="2" t="s">
        <v>141</v>
      </c>
      <c r="D29" s="2"/>
      <c r="E29" s="2"/>
      <c r="F29" s="2"/>
      <c r="G29" s="2"/>
      <c r="H29" s="2"/>
      <c r="I29" s="2"/>
      <c r="J29" s="2"/>
    </row>
    <row r="30" spans="1:10" x14ac:dyDescent="0.2">
      <c r="A30" s="11" t="s">
        <v>51</v>
      </c>
      <c r="B30" s="2"/>
      <c r="C30" s="2" t="s">
        <v>142</v>
      </c>
      <c r="D30" s="2"/>
      <c r="E30" s="2"/>
      <c r="F30" s="2"/>
      <c r="G30" s="2"/>
      <c r="H30" s="2"/>
      <c r="I30" s="2"/>
      <c r="J30" s="2"/>
    </row>
    <row r="31" spans="1:10" x14ac:dyDescent="0.2">
      <c r="A31" s="11" t="s">
        <v>52</v>
      </c>
      <c r="C31" s="8" t="s">
        <v>143</v>
      </c>
    </row>
    <row r="32" spans="1:10" x14ac:dyDescent="0.2">
      <c r="A32" s="11"/>
    </row>
  </sheetData>
  <sheetProtection selectLockedCells="1"/>
  <mergeCells count="1">
    <mergeCell ref="A28:B28"/>
  </mergeCells>
  <pageMargins left="0.7" right="0.7" top="0.75" bottom="0.75" header="0.3" footer="0.3"/>
  <pageSetup orientation="landscape" r:id="rId1"/>
  <headerFooter>
    <oddHeader>&amp;R&amp;"Arial,Regular"&amp;10Filed: 2024-02-16
EB-2022-0200
Rate Order
Working Papers
Schedule 5
Page &amp;P of &amp;N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C761-B507-4299-A763-B5F0C049A528}">
  <sheetPr codeName="Sheet6">
    <tabColor theme="9" tint="0.59999389629810485"/>
  </sheetPr>
  <dimension ref="A6:H130"/>
  <sheetViews>
    <sheetView showWhiteSpace="0" view="pageLayout" topLeftCell="A110" zoomScaleNormal="100" workbookViewId="0">
      <selection activeCell="C105" sqref="C105"/>
    </sheetView>
  </sheetViews>
  <sheetFormatPr defaultColWidth="101.140625" defaultRowHeight="12.75" x14ac:dyDescent="0.2"/>
  <cols>
    <col min="1" max="1" width="5.140625" style="9" customWidth="1"/>
    <col min="2" max="2" width="1.42578125" style="8" customWidth="1"/>
    <col min="3" max="3" width="50.5703125" style="6" customWidth="1"/>
    <col min="4" max="4" width="1.42578125" style="8" customWidth="1"/>
    <col min="5" max="7" width="10.140625" style="9" customWidth="1"/>
    <col min="8" max="16384" width="101.140625" style="8"/>
  </cols>
  <sheetData>
    <row r="6" spans="1:7" x14ac:dyDescent="0.2">
      <c r="A6" s="183" t="s">
        <v>0</v>
      </c>
      <c r="B6" s="183"/>
      <c r="C6" s="183"/>
      <c r="D6" s="183"/>
      <c r="E6" s="183"/>
      <c r="F6" s="183"/>
      <c r="G6" s="183"/>
    </row>
    <row r="7" spans="1:7" s="2" customFormat="1" x14ac:dyDescent="0.2">
      <c r="A7" s="183" t="s">
        <v>144</v>
      </c>
      <c r="B7" s="183"/>
      <c r="C7" s="183"/>
      <c r="D7" s="183"/>
      <c r="E7" s="183"/>
      <c r="F7" s="183"/>
      <c r="G7" s="183"/>
    </row>
    <row r="9" spans="1:7" s="6" customFormat="1" ht="51" x14ac:dyDescent="0.2">
      <c r="A9" s="5" t="s">
        <v>3</v>
      </c>
      <c r="C9" s="7" t="s">
        <v>4</v>
      </c>
      <c r="E9" s="5" t="s">
        <v>145</v>
      </c>
      <c r="F9" s="5" t="s">
        <v>146</v>
      </c>
      <c r="G9" s="5" t="s">
        <v>147</v>
      </c>
    </row>
    <row r="10" spans="1:7" x14ac:dyDescent="0.2">
      <c r="E10" s="9" t="s">
        <v>6</v>
      </c>
      <c r="F10" s="9" t="s">
        <v>7</v>
      </c>
      <c r="G10" s="9" t="s">
        <v>148</v>
      </c>
    </row>
    <row r="12" spans="1:7" x14ac:dyDescent="0.2">
      <c r="A12" s="80"/>
      <c r="B12" s="81"/>
      <c r="C12" s="82" t="s">
        <v>149</v>
      </c>
      <c r="D12" s="81"/>
      <c r="E12" s="80"/>
      <c r="F12" s="80"/>
      <c r="G12" s="80"/>
    </row>
    <row r="13" spans="1:7" x14ac:dyDescent="0.2">
      <c r="A13" s="80"/>
      <c r="B13" s="81"/>
      <c r="C13" s="81"/>
      <c r="D13" s="81"/>
      <c r="E13" s="80"/>
      <c r="F13" s="80"/>
      <c r="G13" s="80"/>
    </row>
    <row r="14" spans="1:7" x14ac:dyDescent="0.2">
      <c r="A14" s="80">
        <v>1</v>
      </c>
      <c r="B14" s="81"/>
      <c r="C14" s="81" t="s">
        <v>150</v>
      </c>
      <c r="D14" s="81"/>
      <c r="E14" s="90">
        <v>1.2</v>
      </c>
      <c r="F14" s="80"/>
      <c r="G14" s="92">
        <v>0</v>
      </c>
    </row>
    <row r="15" spans="1:7" x14ac:dyDescent="0.2">
      <c r="A15" s="80">
        <v>2</v>
      </c>
      <c r="B15" s="81"/>
      <c r="C15" s="81" t="s">
        <v>151</v>
      </c>
      <c r="D15" s="81"/>
      <c r="E15" s="91">
        <v>0.5</v>
      </c>
      <c r="F15" s="80"/>
      <c r="G15" s="92">
        <v>0</v>
      </c>
    </row>
    <row r="16" spans="1:7" x14ac:dyDescent="0.2">
      <c r="A16" s="80">
        <v>3</v>
      </c>
      <c r="B16" s="81"/>
      <c r="C16" s="81" t="s">
        <v>140</v>
      </c>
      <c r="D16" s="81"/>
      <c r="E16" s="93">
        <v>1.7</v>
      </c>
      <c r="F16" s="94" t="s">
        <v>100</v>
      </c>
      <c r="G16" s="95">
        <v>0</v>
      </c>
    </row>
    <row r="17" spans="1:8" x14ac:dyDescent="0.2">
      <c r="A17" s="80"/>
      <c r="B17" s="81"/>
      <c r="C17" s="81"/>
      <c r="D17" s="81"/>
      <c r="E17" s="80"/>
      <c r="F17" s="80"/>
      <c r="G17" s="80"/>
    </row>
    <row r="18" spans="1:8" x14ac:dyDescent="0.2">
      <c r="A18" s="80"/>
      <c r="B18" s="81"/>
      <c r="C18" s="82" t="s">
        <v>152</v>
      </c>
      <c r="D18" s="81"/>
      <c r="E18" s="80"/>
      <c r="F18" s="80"/>
      <c r="G18" s="80"/>
    </row>
    <row r="19" spans="1:8" x14ac:dyDescent="0.2">
      <c r="A19" s="80"/>
      <c r="B19" s="81"/>
      <c r="C19" s="81"/>
      <c r="D19" s="81"/>
      <c r="E19" s="80"/>
      <c r="F19" s="80"/>
      <c r="G19" s="80"/>
    </row>
    <row r="20" spans="1:8" x14ac:dyDescent="0.2">
      <c r="A20" s="80">
        <v>4</v>
      </c>
      <c r="B20" s="81"/>
      <c r="C20" s="81" t="s">
        <v>153</v>
      </c>
      <c r="D20" s="81"/>
      <c r="E20" s="91">
        <v>11</v>
      </c>
      <c r="F20" s="96">
        <v>1.66E-2</v>
      </c>
      <c r="G20" s="80">
        <v>0.2</v>
      </c>
      <c r="H20" s="108"/>
    </row>
    <row r="21" spans="1:8" x14ac:dyDescent="0.2">
      <c r="A21" s="80">
        <v>5</v>
      </c>
      <c r="B21" s="81"/>
      <c r="C21" s="81" t="s">
        <v>154</v>
      </c>
      <c r="D21" s="81"/>
      <c r="E21" s="91">
        <v>7.2</v>
      </c>
      <c r="F21" s="96">
        <v>8.8999999999999999E-3</v>
      </c>
      <c r="G21" s="80">
        <v>0.1</v>
      </c>
      <c r="H21" s="108"/>
    </row>
    <row r="22" spans="1:8" x14ac:dyDescent="0.2">
      <c r="A22" s="80">
        <v>6</v>
      </c>
      <c r="B22" s="81"/>
      <c r="C22" s="81" t="s">
        <v>155</v>
      </c>
      <c r="D22" s="81"/>
      <c r="E22" s="91">
        <v>22.8</v>
      </c>
      <c r="F22" s="96">
        <v>9.9000000000000008E-3</v>
      </c>
      <c r="G22" s="80">
        <v>0.2</v>
      </c>
      <c r="H22" s="108"/>
    </row>
    <row r="23" spans="1:8" x14ac:dyDescent="0.2">
      <c r="A23" s="80">
        <v>7</v>
      </c>
      <c r="B23" s="81"/>
      <c r="C23" s="81" t="s">
        <v>140</v>
      </c>
      <c r="D23" s="81"/>
      <c r="E23" s="93">
        <v>41</v>
      </c>
      <c r="F23" s="94" t="s">
        <v>100</v>
      </c>
      <c r="G23" s="94">
        <v>0.4</v>
      </c>
    </row>
    <row r="24" spans="1:8" x14ac:dyDescent="0.2">
      <c r="A24" s="80"/>
      <c r="B24" s="81"/>
      <c r="C24" s="81"/>
      <c r="D24" s="81"/>
      <c r="E24" s="80"/>
      <c r="F24" s="80"/>
      <c r="G24" s="80"/>
    </row>
    <row r="25" spans="1:8" x14ac:dyDescent="0.2">
      <c r="A25" s="80"/>
      <c r="B25" s="81"/>
      <c r="C25" s="82" t="s">
        <v>156</v>
      </c>
      <c r="D25" s="81"/>
      <c r="E25" s="80"/>
      <c r="F25" s="80"/>
      <c r="G25" s="80"/>
    </row>
    <row r="26" spans="1:8" x14ac:dyDescent="0.2">
      <c r="A26" s="80"/>
      <c r="B26" s="81"/>
      <c r="C26" s="81"/>
      <c r="D26" s="81"/>
      <c r="E26" s="80"/>
      <c r="F26" s="80"/>
      <c r="G26" s="80"/>
    </row>
    <row r="27" spans="1:8" x14ac:dyDescent="0.2">
      <c r="A27" s="80">
        <v>8</v>
      </c>
      <c r="B27" s="81"/>
      <c r="C27" s="81" t="s">
        <v>157</v>
      </c>
      <c r="D27" s="81"/>
      <c r="E27" s="91">
        <v>74.8</v>
      </c>
      <c r="F27" s="96">
        <v>1.43E-2</v>
      </c>
      <c r="G27" s="92">
        <v>1.1000000000000001</v>
      </c>
      <c r="H27" s="108"/>
    </row>
    <row r="28" spans="1:8" x14ac:dyDescent="0.2">
      <c r="A28" s="80">
        <v>9</v>
      </c>
      <c r="B28" s="81"/>
      <c r="C28" s="81" t="s">
        <v>153</v>
      </c>
      <c r="D28" s="81"/>
      <c r="E28" s="91">
        <v>111.7</v>
      </c>
      <c r="F28" s="96">
        <v>2.6700000000000002E-2</v>
      </c>
      <c r="G28" s="92">
        <v>3</v>
      </c>
      <c r="H28" s="108"/>
    </row>
    <row r="29" spans="1:8" x14ac:dyDescent="0.2">
      <c r="A29" s="80">
        <v>10</v>
      </c>
      <c r="B29" s="81"/>
      <c r="C29" s="81" t="s">
        <v>158</v>
      </c>
      <c r="D29" s="81"/>
      <c r="E29" s="91">
        <v>148.30000000000001</v>
      </c>
      <c r="F29" s="96">
        <v>4.0300000000000002E-2</v>
      </c>
      <c r="G29" s="92">
        <v>5.9</v>
      </c>
      <c r="H29" s="108"/>
    </row>
    <row r="30" spans="1:8" x14ac:dyDescent="0.2">
      <c r="A30" s="80">
        <v>11</v>
      </c>
      <c r="B30" s="81"/>
      <c r="C30" s="81" t="s">
        <v>159</v>
      </c>
      <c r="D30" s="81"/>
      <c r="E30" s="91">
        <v>16</v>
      </c>
      <c r="F30" s="96">
        <v>1.01E-2</v>
      </c>
      <c r="G30" s="92">
        <v>0.2</v>
      </c>
      <c r="H30" s="108"/>
    </row>
    <row r="31" spans="1:8" x14ac:dyDescent="0.2">
      <c r="A31" s="80">
        <v>12</v>
      </c>
      <c r="B31" s="81"/>
      <c r="C31" s="81" t="s">
        <v>160</v>
      </c>
      <c r="D31" s="81"/>
      <c r="E31" s="91">
        <v>226.9</v>
      </c>
      <c r="F31" s="96">
        <v>2.4400000000000002E-2</v>
      </c>
      <c r="G31" s="92">
        <v>5.4</v>
      </c>
      <c r="H31" s="108"/>
    </row>
    <row r="32" spans="1:8" x14ac:dyDescent="0.2">
      <c r="A32" s="80">
        <v>13</v>
      </c>
      <c r="B32" s="81"/>
      <c r="C32" s="81" t="s">
        <v>161</v>
      </c>
      <c r="D32" s="81"/>
      <c r="E32" s="91">
        <v>741.3</v>
      </c>
      <c r="F32" s="96">
        <v>2.4E-2</v>
      </c>
      <c r="G32" s="92">
        <v>17.8</v>
      </c>
      <c r="H32" s="108"/>
    </row>
    <row r="33" spans="1:8" x14ac:dyDescent="0.2">
      <c r="A33" s="80">
        <v>14</v>
      </c>
      <c r="B33" s="81"/>
      <c r="C33" s="81" t="s">
        <v>162</v>
      </c>
      <c r="D33" s="81"/>
      <c r="E33" s="91">
        <v>86.3</v>
      </c>
      <c r="F33" s="96">
        <v>2.0199999999999999E-2</v>
      </c>
      <c r="G33" s="92">
        <v>1.7</v>
      </c>
      <c r="H33" s="108"/>
    </row>
    <row r="34" spans="1:8" x14ac:dyDescent="0.2">
      <c r="A34" s="80">
        <v>15</v>
      </c>
      <c r="B34" s="81"/>
      <c r="C34" s="81" t="s">
        <v>140</v>
      </c>
      <c r="D34" s="81"/>
      <c r="E34" s="93">
        <v>1405.3</v>
      </c>
      <c r="F34" s="94" t="s">
        <v>100</v>
      </c>
      <c r="G34" s="95">
        <v>35.1</v>
      </c>
    </row>
    <row r="35" spans="1:8" x14ac:dyDescent="0.2">
      <c r="A35" s="80"/>
      <c r="B35" s="81"/>
      <c r="C35" s="81"/>
      <c r="D35" s="81"/>
      <c r="E35" s="80"/>
      <c r="F35" s="80"/>
      <c r="G35" s="80"/>
    </row>
    <row r="36" spans="1:8" x14ac:dyDescent="0.2">
      <c r="A36" s="80"/>
      <c r="B36" s="81"/>
      <c r="C36" s="82" t="s">
        <v>163</v>
      </c>
      <c r="D36" s="81"/>
      <c r="E36" s="80"/>
      <c r="F36" s="80"/>
      <c r="G36" s="80"/>
    </row>
    <row r="37" spans="1:8" x14ac:dyDescent="0.2">
      <c r="A37" s="80"/>
      <c r="B37" s="81"/>
      <c r="C37" s="81"/>
      <c r="D37" s="81"/>
      <c r="E37" s="80"/>
      <c r="F37" s="80"/>
      <c r="G37" s="80"/>
    </row>
    <row r="38" spans="1:8" x14ac:dyDescent="0.2">
      <c r="A38" s="80">
        <v>16</v>
      </c>
      <c r="B38" s="81"/>
      <c r="C38" s="81" t="s">
        <v>157</v>
      </c>
      <c r="D38" s="81"/>
      <c r="E38" s="91">
        <v>91.6</v>
      </c>
      <c r="F38" s="96">
        <v>1.6E-2</v>
      </c>
      <c r="G38" s="80">
        <v>1.4</v>
      </c>
      <c r="H38" s="108"/>
    </row>
    <row r="39" spans="1:8" x14ac:dyDescent="0.2">
      <c r="A39" s="80">
        <v>17</v>
      </c>
      <c r="B39" s="81"/>
      <c r="C39" s="81" t="s">
        <v>164</v>
      </c>
      <c r="D39" s="81"/>
      <c r="E39" s="91">
        <v>166.1</v>
      </c>
      <c r="F39" s="96">
        <v>2.1499999999999998E-2</v>
      </c>
      <c r="G39" s="80">
        <v>3.6</v>
      </c>
      <c r="H39" s="108"/>
    </row>
    <row r="40" spans="1:8" x14ac:dyDescent="0.2">
      <c r="A40" s="80">
        <v>18</v>
      </c>
      <c r="B40" s="81"/>
      <c r="C40" s="83" t="s">
        <v>165</v>
      </c>
      <c r="D40" s="81"/>
      <c r="E40" s="91">
        <v>11.4</v>
      </c>
      <c r="F40" s="96">
        <v>1.4800000000000001E-2</v>
      </c>
      <c r="G40" s="80">
        <v>0.2</v>
      </c>
      <c r="H40" s="108"/>
    </row>
    <row r="41" spans="1:8" x14ac:dyDescent="0.2">
      <c r="A41" s="80">
        <v>19</v>
      </c>
      <c r="B41" s="81"/>
      <c r="C41" s="81" t="s">
        <v>166</v>
      </c>
      <c r="D41" s="81"/>
      <c r="E41" s="91">
        <v>3.3</v>
      </c>
      <c r="F41" s="96">
        <v>2.3E-2</v>
      </c>
      <c r="G41" s="80">
        <v>0.1</v>
      </c>
      <c r="H41" s="108"/>
    </row>
    <row r="42" spans="1:8" x14ac:dyDescent="0.2">
      <c r="A42" s="80">
        <v>20</v>
      </c>
      <c r="B42" s="81"/>
      <c r="C42" s="81" t="s">
        <v>167</v>
      </c>
      <c r="D42" s="81"/>
      <c r="E42" s="91">
        <v>2953.8</v>
      </c>
      <c r="F42" s="96">
        <v>1.4E-2</v>
      </c>
      <c r="G42" s="80">
        <v>41.4</v>
      </c>
      <c r="H42" s="108"/>
    </row>
    <row r="43" spans="1:8" x14ac:dyDescent="0.2">
      <c r="A43" s="80">
        <v>21</v>
      </c>
      <c r="B43" s="81"/>
      <c r="C43" s="81" t="s">
        <v>161</v>
      </c>
      <c r="D43" s="81"/>
      <c r="E43" s="91">
        <v>1037.3</v>
      </c>
      <c r="F43" s="96">
        <v>3.3000000000000002E-2</v>
      </c>
      <c r="G43" s="80">
        <v>34.299999999999997</v>
      </c>
      <c r="H43" s="108"/>
    </row>
    <row r="44" spans="1:8" x14ac:dyDescent="0.2">
      <c r="A44" s="80">
        <v>22</v>
      </c>
      <c r="B44" s="81"/>
      <c r="C44" s="81" t="s">
        <v>162</v>
      </c>
      <c r="D44" s="81"/>
      <c r="E44" s="91">
        <v>491.9</v>
      </c>
      <c r="F44" s="96">
        <v>2.64E-2</v>
      </c>
      <c r="G44" s="80">
        <v>12.9</v>
      </c>
      <c r="H44" s="108"/>
    </row>
    <row r="45" spans="1:8" x14ac:dyDescent="0.2">
      <c r="A45" s="80">
        <v>23</v>
      </c>
      <c r="B45" s="81"/>
      <c r="C45" s="81" t="s">
        <v>140</v>
      </c>
      <c r="D45" s="81"/>
      <c r="E45" s="93">
        <v>4755.5</v>
      </c>
      <c r="F45" s="94" t="s">
        <v>100</v>
      </c>
      <c r="G45" s="94">
        <v>93.8</v>
      </c>
    </row>
    <row r="56" spans="1:8" x14ac:dyDescent="0.2">
      <c r="A56" s="183" t="s">
        <v>0</v>
      </c>
      <c r="B56" s="183"/>
      <c r="C56" s="183"/>
      <c r="D56" s="183"/>
      <c r="E56" s="183"/>
      <c r="F56" s="183"/>
      <c r="G56" s="183"/>
    </row>
    <row r="57" spans="1:8" x14ac:dyDescent="0.2">
      <c r="A57" s="183" t="s">
        <v>168</v>
      </c>
      <c r="B57" s="183"/>
      <c r="C57" s="183"/>
      <c r="D57" s="183"/>
      <c r="E57" s="183"/>
      <c r="F57" s="183"/>
      <c r="G57" s="183"/>
    </row>
    <row r="58" spans="1:8" x14ac:dyDescent="0.2">
      <c r="A58" s="80"/>
      <c r="B58" s="81"/>
      <c r="C58" s="81"/>
      <c r="D58" s="81"/>
      <c r="E58" s="80"/>
      <c r="F58" s="80"/>
      <c r="G58" s="80"/>
    </row>
    <row r="59" spans="1:8" ht="51" x14ac:dyDescent="0.2">
      <c r="A59" s="86" t="s">
        <v>3</v>
      </c>
      <c r="B59" s="83"/>
      <c r="C59" s="84" t="s">
        <v>4</v>
      </c>
      <c r="D59" s="83"/>
      <c r="E59" s="5" t="s">
        <v>145</v>
      </c>
      <c r="F59" s="5" t="s">
        <v>146</v>
      </c>
      <c r="G59" s="5" t="s">
        <v>147</v>
      </c>
    </row>
    <row r="60" spans="1:8" x14ac:dyDescent="0.2">
      <c r="A60" s="80"/>
      <c r="B60" s="81"/>
      <c r="C60" s="81"/>
      <c r="D60" s="81"/>
      <c r="E60" s="80" t="s">
        <v>6</v>
      </c>
      <c r="F60" s="80" t="s">
        <v>7</v>
      </c>
      <c r="G60" s="80" t="s">
        <v>169</v>
      </c>
    </row>
    <row r="61" spans="1:8" x14ac:dyDescent="0.2">
      <c r="A61" s="80"/>
      <c r="B61" s="81"/>
      <c r="C61" s="81"/>
      <c r="D61" s="81"/>
      <c r="E61" s="80"/>
      <c r="F61" s="80"/>
      <c r="G61" s="80"/>
    </row>
    <row r="62" spans="1:8" x14ac:dyDescent="0.2">
      <c r="A62" s="80"/>
      <c r="B62" s="81"/>
      <c r="C62" s="82" t="s">
        <v>170</v>
      </c>
      <c r="D62" s="81"/>
      <c r="E62" s="80"/>
      <c r="F62" s="80"/>
      <c r="G62" s="80"/>
    </row>
    <row r="63" spans="1:8" x14ac:dyDescent="0.2">
      <c r="A63" s="80"/>
      <c r="B63" s="81"/>
      <c r="C63" s="81"/>
      <c r="D63" s="81"/>
      <c r="E63" s="80"/>
      <c r="F63" s="80"/>
      <c r="G63" s="80"/>
    </row>
    <row r="64" spans="1:8" x14ac:dyDescent="0.2">
      <c r="A64" s="80">
        <v>24</v>
      </c>
      <c r="B64" s="81"/>
      <c r="C64" s="81" t="s">
        <v>171</v>
      </c>
      <c r="D64" s="81"/>
      <c r="E64" s="89">
        <v>30.7</v>
      </c>
      <c r="F64" s="85" t="s">
        <v>172</v>
      </c>
      <c r="G64" s="92">
        <v>1</v>
      </c>
      <c r="H64" s="108"/>
    </row>
    <row r="65" spans="1:8" x14ac:dyDescent="0.2">
      <c r="A65" s="80">
        <v>25</v>
      </c>
      <c r="B65" s="81"/>
      <c r="C65" s="81" t="s">
        <v>157</v>
      </c>
      <c r="D65" s="81"/>
      <c r="E65" s="89">
        <v>67.8</v>
      </c>
      <c r="F65" s="96">
        <v>1.6799999999999999E-2</v>
      </c>
      <c r="G65" s="92">
        <v>1.1000000000000001</v>
      </c>
      <c r="H65" s="108"/>
    </row>
    <row r="66" spans="1:8" x14ac:dyDescent="0.2">
      <c r="A66" s="80">
        <v>26</v>
      </c>
      <c r="B66" s="81"/>
      <c r="C66" s="81" t="s">
        <v>173</v>
      </c>
      <c r="D66" s="81"/>
      <c r="E66" s="89">
        <v>207.4</v>
      </c>
      <c r="F66" s="96">
        <v>2.3300000000000001E-2</v>
      </c>
      <c r="G66" s="92">
        <v>5.4</v>
      </c>
      <c r="H66" s="108"/>
    </row>
    <row r="67" spans="1:8" x14ac:dyDescent="0.2">
      <c r="A67" s="80">
        <v>27</v>
      </c>
      <c r="B67" s="81"/>
      <c r="C67" s="81" t="s">
        <v>174</v>
      </c>
      <c r="D67" s="81"/>
      <c r="E67" s="89">
        <v>33.9</v>
      </c>
      <c r="F67" s="96">
        <v>3.9800000000000002E-2</v>
      </c>
      <c r="G67" s="92">
        <v>1.3</v>
      </c>
      <c r="H67" s="108"/>
    </row>
    <row r="68" spans="1:8" x14ac:dyDescent="0.2">
      <c r="A68" s="80">
        <v>28</v>
      </c>
      <c r="B68" s="81"/>
      <c r="C68" s="81" t="s">
        <v>175</v>
      </c>
      <c r="D68" s="81"/>
      <c r="E68" s="89">
        <v>26.3</v>
      </c>
      <c r="F68" s="96">
        <v>3.8100000000000002E-2</v>
      </c>
      <c r="G68" s="92">
        <v>1</v>
      </c>
      <c r="H68" s="108"/>
    </row>
    <row r="69" spans="1:8" x14ac:dyDescent="0.2">
      <c r="A69" s="80">
        <v>29</v>
      </c>
      <c r="B69" s="81"/>
      <c r="C69" s="81" t="s">
        <v>176</v>
      </c>
      <c r="D69" s="81"/>
      <c r="E69" s="89">
        <v>22.4</v>
      </c>
      <c r="F69" s="96">
        <v>0.11890000000000001</v>
      </c>
      <c r="G69" s="92">
        <v>2.7</v>
      </c>
      <c r="H69" s="108"/>
    </row>
    <row r="70" spans="1:8" x14ac:dyDescent="0.2">
      <c r="A70" s="80">
        <v>30</v>
      </c>
      <c r="B70" s="81"/>
      <c r="C70" s="81" t="s">
        <v>177</v>
      </c>
      <c r="D70" s="81"/>
      <c r="E70" s="89">
        <v>18.899999999999999</v>
      </c>
      <c r="F70" s="96">
        <v>3.7600000000000001E-2</v>
      </c>
      <c r="G70" s="92">
        <v>0.7</v>
      </c>
      <c r="H70" s="108"/>
    </row>
    <row r="71" spans="1:8" x14ac:dyDescent="0.2">
      <c r="A71" s="80">
        <v>31</v>
      </c>
      <c r="B71" s="81"/>
      <c r="C71" s="81" t="s">
        <v>178</v>
      </c>
      <c r="D71" s="81"/>
      <c r="E71" s="89">
        <v>18</v>
      </c>
      <c r="F71" s="96">
        <v>0.14099999999999999</v>
      </c>
      <c r="G71" s="92">
        <v>2.5</v>
      </c>
      <c r="H71" s="108"/>
    </row>
    <row r="72" spans="1:8" x14ac:dyDescent="0.2">
      <c r="A72" s="80">
        <v>32</v>
      </c>
      <c r="B72" s="81"/>
      <c r="C72" s="81" t="s">
        <v>179</v>
      </c>
      <c r="D72" s="81"/>
      <c r="E72" s="89">
        <v>676.7</v>
      </c>
      <c r="F72" s="96">
        <v>3.7199999999999997E-2</v>
      </c>
      <c r="G72" s="92">
        <v>25</v>
      </c>
      <c r="H72" s="108"/>
    </row>
    <row r="73" spans="1:8" x14ac:dyDescent="0.2">
      <c r="A73" s="80">
        <v>33</v>
      </c>
      <c r="B73" s="81"/>
      <c r="C73" s="81" t="s">
        <v>180</v>
      </c>
      <c r="D73" s="81"/>
      <c r="E73" s="89">
        <v>5012.2</v>
      </c>
      <c r="F73" s="96">
        <v>2.87E-2</v>
      </c>
      <c r="G73" s="92">
        <v>142.9</v>
      </c>
      <c r="H73" s="108"/>
    </row>
    <row r="74" spans="1:8" x14ac:dyDescent="0.2">
      <c r="A74" s="80">
        <v>34</v>
      </c>
      <c r="B74" s="81"/>
      <c r="C74" s="81" t="s">
        <v>181</v>
      </c>
      <c r="D74" s="81"/>
      <c r="E74" s="89">
        <v>526.70000000000005</v>
      </c>
      <c r="F74" s="96">
        <v>8.8599999999999998E-2</v>
      </c>
      <c r="G74" s="92">
        <v>46.1</v>
      </c>
      <c r="H74" s="108"/>
    </row>
    <row r="75" spans="1:8" x14ac:dyDescent="0.2">
      <c r="A75" s="80">
        <v>35</v>
      </c>
      <c r="B75" s="81"/>
      <c r="C75" s="81" t="s">
        <v>182</v>
      </c>
      <c r="D75" s="81"/>
      <c r="E75" s="89">
        <v>181.3</v>
      </c>
      <c r="F75" s="96">
        <v>5.7799999999999997E-2</v>
      </c>
      <c r="G75" s="92">
        <v>10.5</v>
      </c>
      <c r="H75" s="108"/>
    </row>
    <row r="76" spans="1:8" x14ac:dyDescent="0.2">
      <c r="A76" s="80">
        <v>36</v>
      </c>
      <c r="B76" s="81"/>
      <c r="C76" s="81" t="s">
        <v>183</v>
      </c>
      <c r="D76" s="81"/>
      <c r="E76" s="89">
        <v>3792</v>
      </c>
      <c r="F76" s="96">
        <v>2.4199999999999999E-2</v>
      </c>
      <c r="G76" s="92">
        <v>90.9</v>
      </c>
      <c r="H76" s="108"/>
    </row>
    <row r="77" spans="1:8" x14ac:dyDescent="0.2">
      <c r="A77" s="80">
        <v>37</v>
      </c>
      <c r="B77" s="81"/>
      <c r="C77" s="81" t="s">
        <v>184</v>
      </c>
      <c r="D77" s="81"/>
      <c r="E77" s="89">
        <v>3923.6</v>
      </c>
      <c r="F77" s="96">
        <v>1.9400000000000001E-2</v>
      </c>
      <c r="G77" s="92">
        <v>75.900000000000006</v>
      </c>
      <c r="H77" s="108"/>
    </row>
    <row r="78" spans="1:8" x14ac:dyDescent="0.2">
      <c r="A78" s="80">
        <v>38</v>
      </c>
      <c r="B78" s="81"/>
      <c r="C78" s="81" t="s">
        <v>185</v>
      </c>
      <c r="D78" s="81"/>
      <c r="E78" s="89">
        <v>13.4</v>
      </c>
      <c r="F78" s="96">
        <v>3.2899999999999999E-2</v>
      </c>
      <c r="G78" s="92">
        <v>0.4</v>
      </c>
      <c r="H78" s="108"/>
    </row>
    <row r="79" spans="1:8" x14ac:dyDescent="0.2">
      <c r="A79" s="80">
        <v>39</v>
      </c>
      <c r="B79" s="81"/>
      <c r="C79" s="81" t="s">
        <v>162</v>
      </c>
      <c r="D79" s="81"/>
      <c r="E79" s="89">
        <v>769.2</v>
      </c>
      <c r="F79" s="96">
        <v>2.4899999999999999E-2</v>
      </c>
      <c r="G79" s="79">
        <v>19</v>
      </c>
      <c r="H79" s="108"/>
    </row>
    <row r="80" spans="1:8" x14ac:dyDescent="0.2">
      <c r="A80" s="80">
        <v>40</v>
      </c>
      <c r="B80" s="81"/>
      <c r="C80" s="81" t="s">
        <v>186</v>
      </c>
      <c r="D80" s="81"/>
      <c r="E80" s="89">
        <v>422.9</v>
      </c>
      <c r="F80" s="96">
        <v>2.9100000000000001E-2</v>
      </c>
      <c r="G80" s="79">
        <v>12.2</v>
      </c>
      <c r="H80" s="108"/>
    </row>
    <row r="81" spans="1:8" x14ac:dyDescent="0.2">
      <c r="A81" s="80">
        <v>41</v>
      </c>
      <c r="B81" s="81"/>
      <c r="C81" s="81" t="s">
        <v>187</v>
      </c>
      <c r="D81" s="81"/>
      <c r="E81" s="89">
        <v>1182.7</v>
      </c>
      <c r="F81" s="96">
        <v>8.9499999999999996E-2</v>
      </c>
      <c r="G81" s="92">
        <v>104.9</v>
      </c>
      <c r="H81" s="108"/>
    </row>
    <row r="82" spans="1:8" x14ac:dyDescent="0.2">
      <c r="A82" s="80">
        <v>42</v>
      </c>
      <c r="B82" s="81"/>
      <c r="C82" s="81" t="s">
        <v>140</v>
      </c>
      <c r="D82" s="81"/>
      <c r="E82" s="101">
        <v>16926</v>
      </c>
      <c r="F82" s="94" t="s">
        <v>100</v>
      </c>
      <c r="G82" s="95">
        <v>543.6</v>
      </c>
    </row>
    <row r="83" spans="1:8" x14ac:dyDescent="0.2">
      <c r="A83" s="80"/>
      <c r="B83" s="81"/>
      <c r="C83" s="81"/>
      <c r="D83" s="81"/>
      <c r="E83" s="80"/>
      <c r="F83" s="80"/>
      <c r="G83" s="80"/>
    </row>
    <row r="84" spans="1:8" x14ac:dyDescent="0.2">
      <c r="A84" s="80"/>
      <c r="B84" s="81"/>
      <c r="C84" s="82" t="s">
        <v>130</v>
      </c>
      <c r="D84" s="81"/>
      <c r="E84" s="80"/>
      <c r="F84" s="80"/>
      <c r="G84" s="80"/>
    </row>
    <row r="85" spans="1:8" x14ac:dyDescent="0.2">
      <c r="A85" s="80"/>
      <c r="B85" s="81"/>
      <c r="C85" s="81"/>
      <c r="D85" s="81"/>
      <c r="E85" s="80"/>
      <c r="F85" s="80"/>
      <c r="G85" s="80"/>
    </row>
    <row r="86" spans="1:8" x14ac:dyDescent="0.2">
      <c r="A86" s="80">
        <v>43</v>
      </c>
      <c r="B86" s="81"/>
      <c r="C86" s="81" t="s">
        <v>188</v>
      </c>
      <c r="D86" s="81"/>
      <c r="E86" s="92">
        <v>16.3</v>
      </c>
      <c r="F86" s="80"/>
      <c r="G86" s="92">
        <v>0</v>
      </c>
      <c r="H86" s="108"/>
    </row>
    <row r="87" spans="1:8" x14ac:dyDescent="0.2">
      <c r="A87" s="80">
        <v>44</v>
      </c>
      <c r="B87" s="81"/>
      <c r="C87" s="81" t="s">
        <v>173</v>
      </c>
      <c r="D87" s="81"/>
      <c r="E87" s="92">
        <v>21.7</v>
      </c>
      <c r="F87" s="96">
        <v>8.9999999999999993E-3</v>
      </c>
      <c r="G87" s="92">
        <v>0.2</v>
      </c>
      <c r="H87" s="108"/>
    </row>
    <row r="88" spans="1:8" x14ac:dyDescent="0.2">
      <c r="A88" s="80">
        <v>45</v>
      </c>
      <c r="B88" s="81"/>
      <c r="C88" s="81" t="s">
        <v>189</v>
      </c>
      <c r="D88" s="81"/>
      <c r="E88" s="92">
        <v>90.9</v>
      </c>
      <c r="F88" s="96">
        <v>6.1499999999999999E-2</v>
      </c>
      <c r="G88" s="92">
        <v>5.6</v>
      </c>
      <c r="H88" s="108"/>
    </row>
    <row r="89" spans="1:8" x14ac:dyDescent="0.2">
      <c r="A89" s="80">
        <v>46</v>
      </c>
      <c r="B89" s="81"/>
      <c r="C89" s="81" t="s">
        <v>190</v>
      </c>
      <c r="D89" s="81"/>
      <c r="E89" s="92">
        <v>0</v>
      </c>
      <c r="F89" s="96">
        <v>0.59230000000000005</v>
      </c>
      <c r="G89" s="92">
        <v>0</v>
      </c>
      <c r="H89" s="108"/>
    </row>
    <row r="90" spans="1:8" x14ac:dyDescent="0.2">
      <c r="A90" s="80">
        <v>47</v>
      </c>
      <c r="B90" s="81"/>
      <c r="C90" s="81" t="s">
        <v>191</v>
      </c>
      <c r="D90" s="81"/>
      <c r="E90" s="92">
        <v>37.1</v>
      </c>
      <c r="F90" s="96">
        <v>3.7900000000000003E-2</v>
      </c>
      <c r="G90" s="92">
        <v>1.4</v>
      </c>
      <c r="H90" s="108"/>
    </row>
    <row r="91" spans="1:8" x14ac:dyDescent="0.2">
      <c r="A91" s="80">
        <v>48</v>
      </c>
      <c r="B91" s="81"/>
      <c r="C91" s="81" t="s">
        <v>192</v>
      </c>
      <c r="D91" s="81"/>
      <c r="E91" s="92">
        <v>87.6</v>
      </c>
      <c r="F91" s="96">
        <v>4.8399999999999999E-2</v>
      </c>
      <c r="G91" s="92">
        <v>4.2</v>
      </c>
      <c r="H91" s="108"/>
    </row>
    <row r="92" spans="1:8" x14ac:dyDescent="0.2">
      <c r="A92" s="80">
        <v>49</v>
      </c>
      <c r="B92" s="81"/>
      <c r="C92" s="81" t="s">
        <v>193</v>
      </c>
      <c r="D92" s="81"/>
      <c r="E92" s="92">
        <v>21.5</v>
      </c>
      <c r="F92" s="96">
        <v>0.1447</v>
      </c>
      <c r="G92" s="92">
        <v>3.1</v>
      </c>
      <c r="H92" s="108"/>
    </row>
    <row r="93" spans="1:8" x14ac:dyDescent="0.2">
      <c r="A93" s="80">
        <v>50</v>
      </c>
      <c r="B93" s="81"/>
      <c r="C93" s="81" t="s">
        <v>194</v>
      </c>
      <c r="D93" s="81"/>
      <c r="E93" s="92">
        <v>43</v>
      </c>
      <c r="F93" s="96">
        <v>4.3999999999999997E-2</v>
      </c>
      <c r="G93" s="92">
        <v>1.9</v>
      </c>
      <c r="H93" s="108"/>
    </row>
    <row r="94" spans="1:8" x14ac:dyDescent="0.2">
      <c r="A94" s="80">
        <v>51</v>
      </c>
      <c r="B94" s="81"/>
      <c r="C94" s="81" t="s">
        <v>195</v>
      </c>
      <c r="D94" s="81"/>
      <c r="E94" s="92">
        <v>143.6</v>
      </c>
      <c r="F94" s="96">
        <v>3.7699999999999997E-2</v>
      </c>
      <c r="G94" s="92">
        <v>5.4</v>
      </c>
      <c r="H94" s="108"/>
    </row>
    <row r="95" spans="1:8" x14ac:dyDescent="0.2">
      <c r="A95" s="80">
        <v>52</v>
      </c>
      <c r="B95" s="81"/>
      <c r="C95" s="81" t="s">
        <v>196</v>
      </c>
      <c r="D95" s="81"/>
      <c r="E95" s="92">
        <v>51.7</v>
      </c>
      <c r="F95" s="96">
        <v>6.3299999999999995E-2</v>
      </c>
      <c r="G95" s="92">
        <v>3.3</v>
      </c>
      <c r="H95" s="108"/>
    </row>
    <row r="96" spans="1:8" x14ac:dyDescent="0.2">
      <c r="A96" s="80">
        <v>53</v>
      </c>
      <c r="B96" s="81"/>
      <c r="C96" s="81" t="s">
        <v>197</v>
      </c>
      <c r="D96" s="81"/>
      <c r="E96" s="92">
        <v>85.2</v>
      </c>
      <c r="F96" s="96">
        <v>0.1192</v>
      </c>
      <c r="G96" s="92">
        <v>10.1</v>
      </c>
      <c r="H96" s="108"/>
    </row>
    <row r="97" spans="1:8" x14ac:dyDescent="0.2">
      <c r="A97" s="80">
        <v>54</v>
      </c>
      <c r="B97" s="81"/>
      <c r="C97" s="81" t="s">
        <v>198</v>
      </c>
      <c r="D97" s="81"/>
      <c r="E97" s="92">
        <v>2.5</v>
      </c>
      <c r="F97" s="96">
        <v>0.10050000000000001</v>
      </c>
      <c r="G97" s="92">
        <v>0.3</v>
      </c>
      <c r="H97" s="108"/>
    </row>
    <row r="98" spans="1:8" x14ac:dyDescent="0.2">
      <c r="A98" s="80">
        <v>55</v>
      </c>
      <c r="B98" s="81"/>
      <c r="C98" s="81" t="s">
        <v>199</v>
      </c>
      <c r="D98" s="81"/>
      <c r="E98" s="92">
        <v>9.5</v>
      </c>
      <c r="F98" s="96">
        <v>3.7499999999999999E-2</v>
      </c>
      <c r="G98" s="92">
        <v>0.4</v>
      </c>
      <c r="H98" s="108"/>
    </row>
    <row r="99" spans="1:8" x14ac:dyDescent="0.2">
      <c r="A99" s="80">
        <v>56</v>
      </c>
      <c r="B99" s="81"/>
      <c r="C99" s="81" t="s">
        <v>200</v>
      </c>
      <c r="D99" s="81"/>
      <c r="E99" s="92">
        <v>8.1999999999999993</v>
      </c>
      <c r="F99" s="96">
        <v>0.26250000000000001</v>
      </c>
      <c r="G99" s="92">
        <v>2</v>
      </c>
      <c r="H99" s="108"/>
    </row>
    <row r="100" spans="1:8" x14ac:dyDescent="0.2">
      <c r="A100" s="80">
        <v>57</v>
      </c>
      <c r="B100" s="81"/>
      <c r="C100" s="81" t="s">
        <v>201</v>
      </c>
      <c r="D100" s="81"/>
      <c r="E100" s="92">
        <v>25.9</v>
      </c>
      <c r="F100" s="96">
        <v>0.1409</v>
      </c>
      <c r="G100" s="79">
        <v>4.2</v>
      </c>
      <c r="H100" s="108"/>
    </row>
    <row r="101" spans="1:8" x14ac:dyDescent="0.2">
      <c r="A101" s="80">
        <v>58</v>
      </c>
      <c r="B101" s="81"/>
      <c r="C101" s="81" t="s">
        <v>202</v>
      </c>
      <c r="D101" s="81"/>
      <c r="E101" s="92">
        <v>5.6</v>
      </c>
      <c r="F101" s="96">
        <v>0.25</v>
      </c>
      <c r="G101" s="79">
        <v>1</v>
      </c>
      <c r="H101" s="108"/>
    </row>
    <row r="107" spans="1:8" x14ac:dyDescent="0.2">
      <c r="A107" s="183" t="s">
        <v>0</v>
      </c>
      <c r="B107" s="183"/>
      <c r="C107" s="183"/>
      <c r="D107" s="183"/>
      <c r="E107" s="183"/>
      <c r="F107" s="183"/>
      <c r="G107" s="183"/>
    </row>
    <row r="108" spans="1:8" x14ac:dyDescent="0.2">
      <c r="A108" s="183" t="s">
        <v>168</v>
      </c>
      <c r="B108" s="183"/>
      <c r="C108" s="183"/>
      <c r="D108" s="183"/>
      <c r="E108" s="183"/>
      <c r="F108" s="183"/>
      <c r="G108" s="183"/>
    </row>
    <row r="109" spans="1:8" x14ac:dyDescent="0.2">
      <c r="A109" s="80"/>
      <c r="B109" s="81"/>
      <c r="C109" s="81"/>
      <c r="D109" s="81"/>
      <c r="E109" s="80"/>
      <c r="F109" s="80"/>
      <c r="G109" s="80"/>
    </row>
    <row r="110" spans="1:8" ht="51" x14ac:dyDescent="0.2">
      <c r="A110" s="86" t="s">
        <v>3</v>
      </c>
      <c r="B110" s="83"/>
      <c r="C110" s="84" t="s">
        <v>4</v>
      </c>
      <c r="D110" s="83"/>
      <c r="E110" s="5" t="s">
        <v>145</v>
      </c>
      <c r="F110" s="5" t="s">
        <v>146</v>
      </c>
      <c r="G110" s="5" t="s">
        <v>203</v>
      </c>
    </row>
    <row r="111" spans="1:8" x14ac:dyDescent="0.2">
      <c r="A111" s="80"/>
      <c r="B111" s="81"/>
      <c r="C111" s="81"/>
      <c r="D111" s="81"/>
      <c r="E111" s="80" t="s">
        <v>6</v>
      </c>
      <c r="F111" s="80" t="s">
        <v>7</v>
      </c>
      <c r="G111" s="80" t="s">
        <v>169</v>
      </c>
    </row>
    <row r="113" spans="1:8" x14ac:dyDescent="0.2">
      <c r="A113" s="80">
        <v>59</v>
      </c>
      <c r="B113" s="81"/>
      <c r="C113" s="81" t="s">
        <v>204</v>
      </c>
      <c r="D113" s="81"/>
      <c r="E113" s="79">
        <v>40.840000000000003</v>
      </c>
      <c r="F113" s="96">
        <v>8.9099999999999999E-2</v>
      </c>
      <c r="G113" s="79">
        <v>0</v>
      </c>
      <c r="H113" s="108"/>
    </row>
    <row r="114" spans="1:8" x14ac:dyDescent="0.2">
      <c r="A114" s="80">
        <v>60</v>
      </c>
      <c r="B114" s="81"/>
      <c r="C114" s="81" t="s">
        <v>205</v>
      </c>
      <c r="D114" s="81"/>
      <c r="E114" s="79">
        <v>5.57</v>
      </c>
      <c r="F114" s="96">
        <v>0.25</v>
      </c>
      <c r="G114" s="79">
        <v>1</v>
      </c>
      <c r="H114" s="108"/>
    </row>
    <row r="115" spans="1:8" x14ac:dyDescent="0.2">
      <c r="A115" s="80">
        <v>61</v>
      </c>
      <c r="B115" s="81"/>
      <c r="C115" s="81" t="s">
        <v>206</v>
      </c>
      <c r="D115" s="81"/>
      <c r="E115" s="79" t="s">
        <v>138</v>
      </c>
      <c r="F115" s="96">
        <v>0.10290000000000001</v>
      </c>
      <c r="G115" s="79">
        <v>0</v>
      </c>
      <c r="H115" s="108"/>
    </row>
    <row r="116" spans="1:8" x14ac:dyDescent="0.2">
      <c r="A116" s="80">
        <v>62</v>
      </c>
      <c r="B116" s="81"/>
      <c r="C116" s="81" t="s">
        <v>207</v>
      </c>
      <c r="D116" s="81"/>
      <c r="E116" s="79">
        <v>8.41</v>
      </c>
      <c r="F116" s="96">
        <v>0.25</v>
      </c>
      <c r="G116" s="79">
        <v>1.6</v>
      </c>
      <c r="H116" s="108"/>
    </row>
    <row r="117" spans="1:8" x14ac:dyDescent="0.2">
      <c r="A117" s="80">
        <v>63</v>
      </c>
      <c r="B117" s="81"/>
      <c r="C117" s="81" t="s">
        <v>208</v>
      </c>
      <c r="D117" s="81"/>
      <c r="E117" s="92">
        <v>55.15</v>
      </c>
      <c r="F117" s="96">
        <v>8.3900000000000002E-2</v>
      </c>
      <c r="G117" s="92">
        <v>4.5999999999999996</v>
      </c>
      <c r="H117" s="108"/>
    </row>
    <row r="118" spans="1:8" x14ac:dyDescent="0.2">
      <c r="A118" s="80">
        <v>64</v>
      </c>
      <c r="B118" s="81"/>
      <c r="C118" s="81" t="s">
        <v>209</v>
      </c>
      <c r="D118" s="81"/>
      <c r="E118" s="92" t="s">
        <v>138</v>
      </c>
      <c r="F118" s="96">
        <v>0.1</v>
      </c>
      <c r="G118" s="92">
        <v>0</v>
      </c>
      <c r="H118" s="108"/>
    </row>
    <row r="119" spans="1:8" x14ac:dyDescent="0.2">
      <c r="A119" s="80">
        <v>65</v>
      </c>
      <c r="B119" s="81"/>
      <c r="C119" s="81" t="s">
        <v>210</v>
      </c>
      <c r="D119" s="81"/>
      <c r="E119" s="92">
        <v>65.3</v>
      </c>
      <c r="F119" s="96">
        <v>0.1074</v>
      </c>
      <c r="G119" s="92">
        <v>7</v>
      </c>
      <c r="H119" s="108"/>
    </row>
    <row r="120" spans="1:8" x14ac:dyDescent="0.2">
      <c r="A120" s="80">
        <v>66</v>
      </c>
      <c r="B120" s="81"/>
      <c r="C120" s="81" t="s">
        <v>140</v>
      </c>
      <c r="D120" s="81"/>
      <c r="E120" s="95">
        <v>825.7</v>
      </c>
      <c r="F120" s="94" t="s">
        <v>100</v>
      </c>
      <c r="G120" s="95">
        <v>57.3</v>
      </c>
    </row>
    <row r="121" spans="1:8" x14ac:dyDescent="0.2">
      <c r="A121" s="80"/>
      <c r="B121" s="81"/>
      <c r="C121" s="81"/>
      <c r="D121" s="81"/>
      <c r="E121" s="85"/>
      <c r="F121" s="80"/>
      <c r="G121" s="80"/>
    </row>
    <row r="122" spans="1:8" ht="25.5" x14ac:dyDescent="0.2">
      <c r="A122" s="80">
        <v>67</v>
      </c>
      <c r="B122" s="81"/>
      <c r="C122" s="81" t="s">
        <v>211</v>
      </c>
      <c r="D122" s="81"/>
      <c r="E122" s="85">
        <v>1.7</v>
      </c>
      <c r="F122" s="87" t="s">
        <v>212</v>
      </c>
      <c r="G122" s="97">
        <v>0</v>
      </c>
    </row>
    <row r="123" spans="1:8" x14ac:dyDescent="0.2">
      <c r="A123" s="80"/>
      <c r="B123" s="81"/>
      <c r="C123" s="81"/>
      <c r="D123" s="81"/>
      <c r="E123" s="80"/>
      <c r="F123" s="80"/>
      <c r="G123" s="80"/>
    </row>
    <row r="124" spans="1:8" x14ac:dyDescent="0.2">
      <c r="A124" s="80">
        <v>68</v>
      </c>
      <c r="B124" s="81"/>
      <c r="C124" s="81" t="s">
        <v>213</v>
      </c>
      <c r="D124" s="81"/>
      <c r="E124" s="98">
        <v>23956.9</v>
      </c>
      <c r="F124" s="99">
        <v>3.0499999999999999E-2</v>
      </c>
      <c r="G124" s="100">
        <v>730.2</v>
      </c>
    </row>
    <row r="125" spans="1:8" x14ac:dyDescent="0.2">
      <c r="A125" s="80"/>
      <c r="B125" s="81"/>
      <c r="C125" s="81"/>
      <c r="D125" s="81"/>
      <c r="E125" s="80"/>
      <c r="F125" s="80"/>
      <c r="G125" s="80"/>
    </row>
    <row r="126" spans="1:8" x14ac:dyDescent="0.2">
      <c r="A126" s="88" t="s">
        <v>26</v>
      </c>
      <c r="B126" s="81"/>
      <c r="C126" s="81"/>
      <c r="D126" s="81"/>
      <c r="E126" s="89"/>
      <c r="F126" s="80"/>
      <c r="G126" s="80"/>
    </row>
    <row r="127" spans="1:8" x14ac:dyDescent="0.2">
      <c r="A127" s="11" t="s">
        <v>27</v>
      </c>
      <c r="B127" s="81"/>
      <c r="C127" s="81" t="s">
        <v>214</v>
      </c>
      <c r="D127" s="81"/>
      <c r="E127" s="80"/>
      <c r="F127" s="80"/>
      <c r="G127" s="92"/>
    </row>
    <row r="128" spans="1:8" x14ac:dyDescent="0.2">
      <c r="A128" s="11" t="s">
        <v>51</v>
      </c>
      <c r="B128" s="81"/>
      <c r="C128" s="81" t="s">
        <v>215</v>
      </c>
      <c r="D128" s="81"/>
      <c r="E128" s="80"/>
      <c r="F128" s="80"/>
      <c r="G128" s="80"/>
    </row>
    <row r="129" spans="1:7" ht="13.5" customHeight="1" x14ac:dyDescent="0.2">
      <c r="A129" s="11" t="s">
        <v>52</v>
      </c>
      <c r="C129" s="81" t="s">
        <v>216</v>
      </c>
      <c r="D129" s="81"/>
      <c r="E129" s="80"/>
      <c r="F129" s="80"/>
    </row>
    <row r="130" spans="1:7" x14ac:dyDescent="0.2">
      <c r="A130" s="11" t="s">
        <v>53</v>
      </c>
      <c r="C130" s="185" t="s">
        <v>217</v>
      </c>
      <c r="D130" s="185"/>
      <c r="E130" s="185"/>
      <c r="F130" s="185"/>
      <c r="G130" s="185"/>
    </row>
  </sheetData>
  <sheetProtection selectLockedCells="1"/>
  <mergeCells count="7">
    <mergeCell ref="A57:G57"/>
    <mergeCell ref="A108:G108"/>
    <mergeCell ref="A6:G6"/>
    <mergeCell ref="A7:G7"/>
    <mergeCell ref="C130:G130"/>
    <mergeCell ref="A56:G56"/>
    <mergeCell ref="A107:G107"/>
  </mergeCells>
  <pageMargins left="0.7" right="0.7" top="0.75" bottom="0.75" header="0.3" footer="0.3"/>
  <pageSetup scale="88" orientation="portrait" r:id="rId1"/>
  <headerFooter>
    <oddHeader>&amp;R&amp;"Arial,Regular"&amp;10Filed: 2024-02-16
EB-2022-0200
Rate Order
Working Papers
Schedule 6
Plus Attachment
Page &amp;P of &amp;N</oddHeader>
  </headerFooter>
  <rowBreaks count="2" manualBreakCount="2">
    <brk id="48" max="6" man="1"/>
    <brk id="103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643A-5129-460D-ACAE-93A9945FD68A}">
  <sheetPr codeName="Sheet7">
    <tabColor theme="9" tint="0.59999389629810485"/>
  </sheetPr>
  <dimension ref="A6:M40"/>
  <sheetViews>
    <sheetView view="pageLayout" topLeftCell="A18" zoomScaleNormal="100" zoomScaleSheetLayoutView="80" workbookViewId="0">
      <selection activeCell="J37" sqref="J37"/>
    </sheetView>
  </sheetViews>
  <sheetFormatPr defaultColWidth="101.140625" defaultRowHeight="12.75" x14ac:dyDescent="0.2"/>
  <cols>
    <col min="1" max="1" width="5.85546875" style="131" bestFit="1" customWidth="1"/>
    <col min="2" max="2" width="1.140625" style="131" customWidth="1"/>
    <col min="3" max="3" width="34.5703125" style="131" customWidth="1"/>
    <col min="4" max="4" width="1.140625" style="131" customWidth="1"/>
    <col min="5" max="86" width="12.5703125" style="131" customWidth="1"/>
    <col min="87" max="16384" width="101.140625" style="131"/>
  </cols>
  <sheetData>
    <row r="6" spans="1:10" x14ac:dyDescent="0.2">
      <c r="A6" s="186" t="s">
        <v>0</v>
      </c>
      <c r="B6" s="186"/>
      <c r="C6" s="186"/>
      <c r="D6" s="186"/>
      <c r="E6" s="186"/>
      <c r="F6" s="186"/>
      <c r="G6" s="186"/>
      <c r="H6" s="186"/>
      <c r="I6" s="186"/>
      <c r="J6" s="186"/>
    </row>
    <row r="7" spans="1:10" s="112" customFormat="1" x14ac:dyDescent="0.2">
      <c r="A7" s="186" t="s">
        <v>218</v>
      </c>
      <c r="B7" s="186"/>
      <c r="C7" s="186"/>
      <c r="D7" s="186"/>
      <c r="E7" s="186"/>
      <c r="F7" s="186"/>
      <c r="G7" s="186"/>
      <c r="H7" s="186"/>
      <c r="I7" s="186"/>
      <c r="J7" s="186"/>
    </row>
    <row r="9" spans="1:10" s="118" customFormat="1" ht="38.25" x14ac:dyDescent="0.2">
      <c r="A9" s="117" t="s">
        <v>3</v>
      </c>
      <c r="C9" s="119" t="s">
        <v>4</v>
      </c>
      <c r="E9" s="117" t="s">
        <v>74</v>
      </c>
      <c r="F9" s="117" t="s">
        <v>75</v>
      </c>
      <c r="G9" s="117" t="s">
        <v>76</v>
      </c>
      <c r="H9" s="117" t="s">
        <v>77</v>
      </c>
      <c r="I9" s="117" t="s">
        <v>78</v>
      </c>
    </row>
    <row r="10" spans="1:10" x14ac:dyDescent="0.2">
      <c r="E10" s="120" t="s">
        <v>6</v>
      </c>
      <c r="F10" s="120" t="s">
        <v>7</v>
      </c>
      <c r="G10" s="120" t="s">
        <v>79</v>
      </c>
      <c r="H10" s="120" t="s">
        <v>63</v>
      </c>
      <c r="I10" s="120" t="s">
        <v>80</v>
      </c>
    </row>
    <row r="11" spans="1:10" x14ac:dyDescent="0.2">
      <c r="C11" s="115" t="s">
        <v>219</v>
      </c>
      <c r="I11" s="120"/>
    </row>
    <row r="13" spans="1:10" x14ac:dyDescent="0.2">
      <c r="A13" s="120">
        <v>1</v>
      </c>
      <c r="C13" s="131" t="s">
        <v>220</v>
      </c>
      <c r="E13" s="123">
        <v>5851.6</v>
      </c>
      <c r="F13" s="123">
        <f>G13-E13</f>
        <v>-71.409748910000417</v>
      </c>
      <c r="G13" s="133">
        <v>5780.1902510899999</v>
      </c>
      <c r="H13" s="128">
        <f>I13-G13</f>
        <v>-2.9257090000101016E-2</v>
      </c>
      <c r="I13" s="123">
        <f>'RR and Deficiency'!I49</f>
        <v>5780.1609939999998</v>
      </c>
      <c r="J13" s="134"/>
    </row>
    <row r="14" spans="1:10" x14ac:dyDescent="0.2">
      <c r="A14" s="120">
        <v>2</v>
      </c>
      <c r="C14" s="131" t="s">
        <v>221</v>
      </c>
      <c r="E14" s="123">
        <v>164.7</v>
      </c>
      <c r="F14" s="123">
        <f t="shared" ref="F14:F16" si="0">G14-E14</f>
        <v>0.5</v>
      </c>
      <c r="G14" s="135">
        <f>164.7+0.5</f>
        <v>165.2</v>
      </c>
      <c r="H14" s="128">
        <f t="shared" ref="H14:H16" si="1">I14-G14</f>
        <v>-1.862281999999027E-2</v>
      </c>
      <c r="I14" s="123">
        <f>'RR and Deficiency'!I50</f>
        <v>165.18137718</v>
      </c>
    </row>
    <row r="15" spans="1:10" x14ac:dyDescent="0.2">
      <c r="A15" s="120">
        <v>3</v>
      </c>
      <c r="C15" s="131" t="s">
        <v>123</v>
      </c>
      <c r="E15" s="123">
        <v>0</v>
      </c>
      <c r="F15" s="123">
        <f t="shared" si="0"/>
        <v>0</v>
      </c>
      <c r="G15" s="135">
        <v>0</v>
      </c>
      <c r="H15" s="136">
        <f t="shared" si="1"/>
        <v>0</v>
      </c>
      <c r="I15" s="123">
        <v>0</v>
      </c>
    </row>
    <row r="16" spans="1:10" x14ac:dyDescent="0.2">
      <c r="A16" s="120">
        <v>4</v>
      </c>
      <c r="C16" s="131" t="s">
        <v>222</v>
      </c>
      <c r="E16" s="123">
        <v>64.3</v>
      </c>
      <c r="F16" s="123">
        <f t="shared" si="0"/>
        <v>-2.0334299296209224E-2</v>
      </c>
      <c r="G16" s="137">
        <v>64.279665700703788</v>
      </c>
      <c r="H16" s="136">
        <f t="shared" si="1"/>
        <v>0</v>
      </c>
      <c r="I16" s="123">
        <f>-'RR and Deficiency'!I30</f>
        <v>64.279665700703788</v>
      </c>
    </row>
    <row r="17" spans="1:11" x14ac:dyDescent="0.2">
      <c r="A17" s="120">
        <v>5</v>
      </c>
      <c r="C17" s="131" t="s">
        <v>223</v>
      </c>
      <c r="E17" s="135" t="s">
        <v>138</v>
      </c>
      <c r="F17" s="135" t="s">
        <v>138</v>
      </c>
      <c r="G17" s="135" t="s">
        <v>138</v>
      </c>
      <c r="H17" s="135" t="s">
        <v>138</v>
      </c>
      <c r="I17" s="138" t="s">
        <v>138</v>
      </c>
    </row>
    <row r="18" spans="1:11" x14ac:dyDescent="0.2">
      <c r="A18" s="120">
        <v>6</v>
      </c>
      <c r="C18" s="131" t="s">
        <v>224</v>
      </c>
      <c r="E18" s="135" t="s">
        <v>138</v>
      </c>
      <c r="F18" s="135" t="s">
        <v>138</v>
      </c>
      <c r="G18" s="135" t="s">
        <v>138</v>
      </c>
      <c r="H18" s="135" t="s">
        <v>138</v>
      </c>
      <c r="I18" s="138" t="s">
        <v>138</v>
      </c>
    </row>
    <row r="19" spans="1:11" x14ac:dyDescent="0.2">
      <c r="A19" s="120"/>
      <c r="E19" s="139"/>
      <c r="F19" s="139"/>
      <c r="G19" s="135"/>
      <c r="H19" s="135"/>
      <c r="I19" s="122"/>
    </row>
    <row r="20" spans="1:11" x14ac:dyDescent="0.2">
      <c r="A20" s="120">
        <v>7</v>
      </c>
      <c r="C20" s="131" t="s">
        <v>225</v>
      </c>
      <c r="E20" s="127">
        <v>6080.6</v>
      </c>
      <c r="F20" s="127">
        <f>G20-E20</f>
        <v>-70.930083209296754</v>
      </c>
      <c r="G20" s="140">
        <f>SUM(G13:G18)</f>
        <v>6009.6699167907036</v>
      </c>
      <c r="H20" s="127">
        <f>I20-G20-0.1</f>
        <v>-4.7879909999755915E-2</v>
      </c>
      <c r="I20" s="127">
        <f>SUM(I13:I18)+0.1</f>
        <v>6009.7220368807039</v>
      </c>
    </row>
    <row r="21" spans="1:11" x14ac:dyDescent="0.2">
      <c r="A21" s="120"/>
      <c r="E21" s="141"/>
      <c r="F21" s="141"/>
      <c r="G21" s="135"/>
      <c r="H21" s="135"/>
      <c r="I21" s="123"/>
    </row>
    <row r="22" spans="1:11" x14ac:dyDescent="0.2">
      <c r="A22" s="120"/>
      <c r="C22" s="115" t="s">
        <v>226</v>
      </c>
      <c r="E22" s="141"/>
      <c r="F22" s="141"/>
      <c r="G22" s="135"/>
      <c r="H22" s="135"/>
      <c r="I22" s="123"/>
    </row>
    <row r="23" spans="1:11" x14ac:dyDescent="0.2">
      <c r="A23" s="120"/>
      <c r="E23" s="141"/>
      <c r="F23" s="141"/>
      <c r="G23" s="135"/>
      <c r="H23" s="135"/>
      <c r="I23" s="123"/>
    </row>
    <row r="24" spans="1:11" x14ac:dyDescent="0.2">
      <c r="A24" s="120">
        <v>8</v>
      </c>
      <c r="C24" s="131" t="s">
        <v>227</v>
      </c>
      <c r="E24" s="123">
        <v>3228</v>
      </c>
      <c r="F24" s="123">
        <f>G24-E24</f>
        <v>-96.300000000000182</v>
      </c>
      <c r="G24" s="142">
        <f>3117+14.7</f>
        <v>3131.7</v>
      </c>
      <c r="H24" s="123">
        <f>I24-G24</f>
        <v>2.5936699999874691E-2</v>
      </c>
      <c r="I24" s="123">
        <f>'RR and Deficiency'!I19</f>
        <v>3131.7259366999997</v>
      </c>
      <c r="J24" s="141"/>
      <c r="K24" s="143"/>
    </row>
    <row r="25" spans="1:11" x14ac:dyDescent="0.2">
      <c r="A25" s="120">
        <v>9</v>
      </c>
      <c r="C25" s="131" t="s">
        <v>228</v>
      </c>
      <c r="E25" s="123">
        <v>1054</v>
      </c>
      <c r="F25" s="123">
        <f>G25-E25</f>
        <v>-50</v>
      </c>
      <c r="G25" s="142">
        <f>1004</f>
        <v>1004</v>
      </c>
      <c r="H25" s="123">
        <f t="shared" ref="H25:H29" si="2">I25-G25</f>
        <v>49.991747960000339</v>
      </c>
      <c r="I25" s="123">
        <f>'RR and Deficiency Delivery'!K20</f>
        <v>1053.9917479600003</v>
      </c>
    </row>
    <row r="26" spans="1:11" x14ac:dyDescent="0.2">
      <c r="A26" s="120">
        <v>10</v>
      </c>
      <c r="C26" s="131" t="s">
        <v>229</v>
      </c>
      <c r="E26" s="123">
        <v>878</v>
      </c>
      <c r="F26" s="123">
        <f t="shared" ref="F26:F29" si="3">G26-E26</f>
        <v>-11.799999999999955</v>
      </c>
      <c r="G26" s="142">
        <v>866.2</v>
      </c>
      <c r="H26" s="123">
        <f t="shared" si="2"/>
        <v>-136.04200000000003</v>
      </c>
      <c r="I26" s="123">
        <f>'RR and Deficiency Delivery'!K21</f>
        <v>730.15800000000002</v>
      </c>
    </row>
    <row r="27" spans="1:11" x14ac:dyDescent="0.2">
      <c r="A27" s="120">
        <v>11</v>
      </c>
      <c r="C27" s="131" t="s">
        <v>230</v>
      </c>
      <c r="E27" s="123">
        <v>4</v>
      </c>
      <c r="F27" s="123">
        <f t="shared" si="3"/>
        <v>0</v>
      </c>
      <c r="G27" s="142">
        <v>4</v>
      </c>
      <c r="H27" s="123">
        <f t="shared" si="2"/>
        <v>0</v>
      </c>
      <c r="I27" s="123">
        <f>'RR and Deficiency Delivery'!K22</f>
        <v>4</v>
      </c>
    </row>
    <row r="28" spans="1:11" x14ac:dyDescent="0.2">
      <c r="A28" s="120">
        <v>12</v>
      </c>
      <c r="C28" s="131" t="s">
        <v>231</v>
      </c>
      <c r="E28" s="123">
        <v>0</v>
      </c>
      <c r="F28" s="123">
        <f t="shared" si="3"/>
        <v>0</v>
      </c>
      <c r="G28" s="142">
        <v>0</v>
      </c>
      <c r="H28" s="123">
        <f t="shared" si="2"/>
        <v>0</v>
      </c>
      <c r="I28" s="123">
        <v>0</v>
      </c>
    </row>
    <row r="29" spans="1:11" x14ac:dyDescent="0.2">
      <c r="A29" s="120">
        <v>13</v>
      </c>
      <c r="C29" s="131" t="s">
        <v>232</v>
      </c>
      <c r="E29" s="123">
        <v>126.2</v>
      </c>
      <c r="F29" s="123">
        <f t="shared" si="3"/>
        <v>-0.60000000000000853</v>
      </c>
      <c r="G29" s="142">
        <v>125.6</v>
      </c>
      <c r="H29" s="123">
        <f t="shared" si="2"/>
        <v>-1.6999999999995907E-2</v>
      </c>
      <c r="I29" s="123">
        <f>'RR and Deficiency Delivery'!K23</f>
        <v>125.583</v>
      </c>
    </row>
    <row r="30" spans="1:11" x14ac:dyDescent="0.2">
      <c r="A30" s="120"/>
      <c r="G30" s="144"/>
      <c r="I30" s="123"/>
    </row>
    <row r="31" spans="1:11" x14ac:dyDescent="0.2">
      <c r="A31" s="120">
        <v>14</v>
      </c>
      <c r="C31" s="131" t="s">
        <v>233</v>
      </c>
      <c r="E31" s="127">
        <v>5290.3</v>
      </c>
      <c r="F31" s="127">
        <f>G31-E31</f>
        <v>-158.80000000000018</v>
      </c>
      <c r="G31" s="145">
        <f>SUM(G24:G29)</f>
        <v>5131.5</v>
      </c>
      <c r="H31" s="127">
        <f>I31-G31</f>
        <v>-86.041315340000438</v>
      </c>
      <c r="I31" s="127">
        <f>SUM(I24:I29)</f>
        <v>5045.4586846599996</v>
      </c>
    </row>
    <row r="32" spans="1:11" x14ac:dyDescent="0.2">
      <c r="A32" s="120"/>
      <c r="G32" s="144"/>
      <c r="I32" s="123"/>
    </row>
    <row r="33" spans="1:13" x14ac:dyDescent="0.2">
      <c r="A33" s="120">
        <v>15</v>
      </c>
      <c r="C33" s="131" t="s">
        <v>234</v>
      </c>
      <c r="E33" s="127">
        <v>790.4</v>
      </c>
      <c r="F33" s="127">
        <f>G33-E33</f>
        <v>87.769916790703633</v>
      </c>
      <c r="G33" s="145">
        <f>G20-G31</f>
        <v>878.16991679070361</v>
      </c>
      <c r="H33" s="127">
        <f>I33-G33</f>
        <v>85.993435430000659</v>
      </c>
      <c r="I33" s="127">
        <f>I20-I31-0.1</f>
        <v>964.16335222070427</v>
      </c>
    </row>
    <row r="34" spans="1:13" x14ac:dyDescent="0.2">
      <c r="A34" s="120"/>
      <c r="G34" s="144"/>
      <c r="I34" s="123"/>
    </row>
    <row r="35" spans="1:13" x14ac:dyDescent="0.2">
      <c r="A35" s="120">
        <v>16</v>
      </c>
      <c r="C35" s="131" t="s">
        <v>69</v>
      </c>
      <c r="E35" s="127">
        <v>-52.1</v>
      </c>
      <c r="F35" s="127">
        <f>G35-E35</f>
        <v>-36.422299620718299</v>
      </c>
      <c r="G35" s="145">
        <f>-88.2222996207183-0.3</f>
        <v>-88.5222996207183</v>
      </c>
      <c r="H35" s="127">
        <f>I35-G35</f>
        <v>-5.0948796585083613</v>
      </c>
      <c r="I35" s="127">
        <f>-'Income Taxes'!G46</f>
        <v>-93.617179279226661</v>
      </c>
    </row>
    <row r="36" spans="1:13" x14ac:dyDescent="0.2">
      <c r="A36" s="120"/>
      <c r="I36" s="127"/>
    </row>
    <row r="37" spans="1:13" ht="13.5" thickBot="1" x14ac:dyDescent="0.25">
      <c r="A37" s="120">
        <v>17</v>
      </c>
      <c r="C37" s="131" t="s">
        <v>235</v>
      </c>
      <c r="E37" s="146">
        <v>738.3</v>
      </c>
      <c r="F37" s="146">
        <f>G37-E37</f>
        <v>51.547617169985415</v>
      </c>
      <c r="G37" s="146">
        <f>G33+G35+0.2</f>
        <v>789.84761716998537</v>
      </c>
      <c r="H37" s="146">
        <f>I37-G37</f>
        <v>80.898555771492283</v>
      </c>
      <c r="I37" s="146">
        <f>I33+I35+0.2</f>
        <v>870.74617294147765</v>
      </c>
      <c r="M37" s="147"/>
    </row>
    <row r="38" spans="1:13" ht="13.5" thickTop="1" x14ac:dyDescent="0.2">
      <c r="A38" s="120"/>
    </row>
    <row r="39" spans="1:13" x14ac:dyDescent="0.2">
      <c r="A39" s="115" t="s">
        <v>337</v>
      </c>
    </row>
    <row r="40" spans="1:13" ht="13.15" customHeight="1" x14ac:dyDescent="0.2">
      <c r="A40" s="148" t="s">
        <v>27</v>
      </c>
      <c r="B40" s="180" t="s">
        <v>291</v>
      </c>
      <c r="C40" s="180"/>
      <c r="D40" s="180"/>
      <c r="E40" s="180"/>
      <c r="F40" s="180"/>
      <c r="G40" s="180"/>
      <c r="H40" s="180"/>
      <c r="I40" s="180"/>
    </row>
  </sheetData>
  <sheetProtection selectLockedCells="1"/>
  <mergeCells count="3">
    <mergeCell ref="A6:J6"/>
    <mergeCell ref="A7:J7"/>
    <mergeCell ref="B40:I40"/>
  </mergeCells>
  <pageMargins left="0.7" right="0.7" top="0.75" bottom="0.75" header="0.3" footer="0.3"/>
  <pageSetup scale="75" orientation="portrait" r:id="rId1"/>
  <headerFooter>
    <oddHeader>&amp;R&amp;"Arial,Regular"&amp;10Updated: 2024-03-15
EB-2022-0200
Rate Order
Working Papers
Schedule 7
Page &amp;P of &amp;N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71FEF-1A8E-493D-AF70-DCA41F90B3DA}">
  <sheetPr codeName="Sheet8">
    <tabColor theme="9" tint="0.59999389629810485"/>
  </sheetPr>
  <dimension ref="A1:G49"/>
  <sheetViews>
    <sheetView view="pageLayout" zoomScale="90" zoomScaleNormal="100" zoomScaleSheetLayoutView="100" zoomScalePageLayoutView="90" workbookViewId="0">
      <selection sqref="A1:XFD1048576"/>
    </sheetView>
  </sheetViews>
  <sheetFormatPr defaultColWidth="8.85546875" defaultRowHeight="12.75" x14ac:dyDescent="0.2"/>
  <cols>
    <col min="1" max="1" width="5.140625" style="132" customWidth="1"/>
    <col min="2" max="2" width="1.42578125" style="132" customWidth="1"/>
    <col min="3" max="3" width="47.140625" style="132" customWidth="1"/>
    <col min="4" max="4" width="1.42578125" style="132" customWidth="1"/>
    <col min="5" max="7" width="10.140625" style="132" customWidth="1"/>
    <col min="8" max="16384" width="8.85546875" style="132"/>
  </cols>
  <sheetData>
    <row r="1" spans="1:7" x14ac:dyDescent="0.2">
      <c r="G1" s="150"/>
    </row>
    <row r="2" spans="1:7" x14ac:dyDescent="0.2">
      <c r="G2" s="150"/>
    </row>
    <row r="3" spans="1:7" x14ac:dyDescent="0.2">
      <c r="G3" s="150"/>
    </row>
    <row r="4" spans="1:7" x14ac:dyDescent="0.2">
      <c r="G4" s="150"/>
    </row>
    <row r="5" spans="1:7" x14ac:dyDescent="0.2">
      <c r="G5" s="150"/>
    </row>
    <row r="6" spans="1:7" x14ac:dyDescent="0.2">
      <c r="A6" s="186" t="s">
        <v>0</v>
      </c>
      <c r="B6" s="186"/>
      <c r="C6" s="186"/>
      <c r="D6" s="186"/>
      <c r="E6" s="186"/>
      <c r="F6" s="186"/>
      <c r="G6" s="186"/>
    </row>
    <row r="7" spans="1:7" x14ac:dyDescent="0.2">
      <c r="A7" s="186" t="s">
        <v>236</v>
      </c>
      <c r="B7" s="186"/>
      <c r="C7" s="186"/>
      <c r="D7" s="186"/>
      <c r="E7" s="186"/>
      <c r="F7" s="186"/>
      <c r="G7" s="186"/>
    </row>
    <row r="8" spans="1:7" x14ac:dyDescent="0.2">
      <c r="A8" s="188" t="s">
        <v>2</v>
      </c>
      <c r="B8" s="188"/>
      <c r="C8" s="188"/>
      <c r="D8" s="188"/>
      <c r="E8" s="188"/>
      <c r="F8" s="188"/>
      <c r="G8" s="188"/>
    </row>
    <row r="9" spans="1:7" x14ac:dyDescent="0.2">
      <c r="A9" s="189"/>
      <c r="B9" s="189"/>
      <c r="C9" s="189"/>
      <c r="D9" s="144"/>
      <c r="E9" s="144"/>
      <c r="F9" s="144"/>
      <c r="G9" s="144"/>
    </row>
    <row r="10" spans="1:7" ht="25.5" x14ac:dyDescent="0.2">
      <c r="A10" s="117" t="s">
        <v>3</v>
      </c>
      <c r="B10" s="151"/>
      <c r="C10" s="152" t="s">
        <v>4</v>
      </c>
      <c r="D10" s="151"/>
      <c r="E10" s="153" t="s">
        <v>237</v>
      </c>
      <c r="F10" s="153" t="s">
        <v>238</v>
      </c>
      <c r="G10" s="153" t="s">
        <v>239</v>
      </c>
    </row>
    <row r="11" spans="1:7" x14ac:dyDescent="0.2">
      <c r="A11" s="189"/>
      <c r="B11" s="189"/>
      <c r="C11" s="189"/>
      <c r="D11" s="144"/>
      <c r="E11" s="154" t="s">
        <v>6</v>
      </c>
      <c r="F11" s="154" t="s">
        <v>7</v>
      </c>
      <c r="G11" s="154" t="s">
        <v>148</v>
      </c>
    </row>
    <row r="12" spans="1:7" x14ac:dyDescent="0.2">
      <c r="A12" s="187"/>
      <c r="B12" s="187"/>
      <c r="C12" s="187"/>
      <c r="D12" s="155"/>
      <c r="E12" s="144"/>
      <c r="F12" s="144"/>
      <c r="G12" s="144"/>
    </row>
    <row r="13" spans="1:7" x14ac:dyDescent="0.2">
      <c r="A13" s="154">
        <v>1</v>
      </c>
      <c r="B13" s="154"/>
      <c r="C13" s="155" t="s">
        <v>234</v>
      </c>
      <c r="D13" s="154"/>
      <c r="E13" s="41">
        <v>964.22049311676892</v>
      </c>
      <c r="F13" s="41">
        <f>E13</f>
        <v>964.22049311676892</v>
      </c>
      <c r="G13" s="154"/>
    </row>
    <row r="14" spans="1:7" x14ac:dyDescent="0.2">
      <c r="A14" s="154"/>
      <c r="B14" s="154"/>
      <c r="C14" s="155"/>
      <c r="D14" s="154"/>
      <c r="E14" s="41"/>
      <c r="F14" s="41"/>
      <c r="G14" s="154"/>
    </row>
    <row r="15" spans="1:7" x14ac:dyDescent="0.2">
      <c r="A15" s="154"/>
      <c r="B15" s="154"/>
      <c r="C15" s="156" t="s">
        <v>240</v>
      </c>
      <c r="D15" s="154"/>
      <c r="E15" s="41"/>
      <c r="F15" s="41"/>
      <c r="G15" s="154"/>
    </row>
    <row r="16" spans="1:7" x14ac:dyDescent="0.2">
      <c r="A16" s="154">
        <v>2</v>
      </c>
      <c r="B16" s="154"/>
      <c r="C16" s="155" t="s">
        <v>241</v>
      </c>
      <c r="D16" s="154"/>
      <c r="E16" s="41">
        <v>730.2</v>
      </c>
      <c r="F16" s="41">
        <v>730.2</v>
      </c>
      <c r="G16" s="154"/>
    </row>
    <row r="17" spans="1:7" x14ac:dyDescent="0.2">
      <c r="A17" s="154">
        <v>3</v>
      </c>
      <c r="B17" s="154"/>
      <c r="C17" s="155" t="s">
        <v>242</v>
      </c>
      <c r="D17" s="154"/>
      <c r="E17" s="41">
        <v>-1.6</v>
      </c>
      <c r="F17" s="41">
        <v>-1.6</v>
      </c>
      <c r="G17" s="154"/>
    </row>
    <row r="18" spans="1:7" x14ac:dyDescent="0.2">
      <c r="A18" s="154">
        <v>4</v>
      </c>
      <c r="B18" s="154"/>
      <c r="C18" s="155" t="s">
        <v>243</v>
      </c>
      <c r="D18" s="154"/>
      <c r="E18" s="43">
        <v>1.4</v>
      </c>
      <c r="F18" s="43">
        <v>1.4</v>
      </c>
      <c r="G18" s="154"/>
    </row>
    <row r="19" spans="1:7" x14ac:dyDescent="0.2">
      <c r="A19" s="154"/>
      <c r="B19" s="154"/>
      <c r="C19" s="144"/>
      <c r="D19" s="154"/>
      <c r="E19" s="41"/>
      <c r="F19" s="41"/>
      <c r="G19" s="154"/>
    </row>
    <row r="20" spans="1:7" x14ac:dyDescent="0.2">
      <c r="A20" s="154">
        <v>5</v>
      </c>
      <c r="B20" s="154"/>
      <c r="C20" s="155" t="s">
        <v>244</v>
      </c>
      <c r="D20" s="154"/>
      <c r="E20" s="43">
        <v>730</v>
      </c>
      <c r="F20" s="43">
        <v>730</v>
      </c>
      <c r="G20" s="154"/>
    </row>
    <row r="21" spans="1:7" x14ac:dyDescent="0.2">
      <c r="A21" s="154"/>
      <c r="B21" s="154"/>
      <c r="C21" s="144"/>
      <c r="D21" s="154"/>
      <c r="E21" s="41"/>
      <c r="F21" s="41"/>
      <c r="G21" s="154"/>
    </row>
    <row r="22" spans="1:7" x14ac:dyDescent="0.2">
      <c r="A22" s="154">
        <v>6</v>
      </c>
      <c r="B22" s="154"/>
      <c r="C22" s="155" t="s">
        <v>245</v>
      </c>
      <c r="D22" s="154"/>
      <c r="E22" s="41">
        <f>E13+E20</f>
        <v>1694.2204931167689</v>
      </c>
      <c r="F22" s="41">
        <f>F13+F20</f>
        <v>1694.2204931167689</v>
      </c>
      <c r="G22" s="154"/>
    </row>
    <row r="23" spans="1:7" x14ac:dyDescent="0.2">
      <c r="A23" s="154"/>
      <c r="B23" s="154"/>
      <c r="C23" s="144"/>
      <c r="D23" s="154"/>
      <c r="E23" s="42"/>
      <c r="F23" s="42"/>
      <c r="G23" s="154"/>
    </row>
    <row r="24" spans="1:7" x14ac:dyDescent="0.2">
      <c r="A24" s="154"/>
      <c r="B24" s="154"/>
      <c r="C24" s="156" t="s">
        <v>246</v>
      </c>
      <c r="D24" s="154"/>
      <c r="E24" s="42"/>
      <c r="F24" s="42"/>
      <c r="G24" s="154"/>
    </row>
    <row r="25" spans="1:7" x14ac:dyDescent="0.2">
      <c r="A25" s="154">
        <v>7</v>
      </c>
      <c r="B25" s="154"/>
      <c r="C25" s="155" t="s">
        <v>247</v>
      </c>
      <c r="D25" s="154"/>
      <c r="E25" s="41">
        <v>760.7</v>
      </c>
      <c r="F25" s="41">
        <v>760.7</v>
      </c>
      <c r="G25" s="154"/>
    </row>
    <row r="26" spans="1:7" x14ac:dyDescent="0.2">
      <c r="A26" s="154">
        <v>8</v>
      </c>
      <c r="B26" s="154"/>
      <c r="C26" s="155" t="s">
        <v>248</v>
      </c>
      <c r="D26" s="154"/>
      <c r="E26" s="41">
        <v>157.69999999999999</v>
      </c>
      <c r="F26" s="41">
        <v>157.69999999999999</v>
      </c>
      <c r="G26" s="154"/>
    </row>
    <row r="27" spans="1:7" x14ac:dyDescent="0.2">
      <c r="A27" s="154">
        <v>9</v>
      </c>
      <c r="B27" s="154"/>
      <c r="C27" s="155" t="s">
        <v>249</v>
      </c>
      <c r="D27" s="154"/>
      <c r="E27" s="41">
        <v>-0.2</v>
      </c>
      <c r="F27" s="41">
        <v>-0.2</v>
      </c>
      <c r="G27" s="154"/>
    </row>
    <row r="28" spans="1:7" x14ac:dyDescent="0.2">
      <c r="A28" s="154">
        <v>10</v>
      </c>
      <c r="B28" s="154"/>
      <c r="C28" s="155" t="s">
        <v>250</v>
      </c>
      <c r="D28" s="154"/>
      <c r="E28" s="41">
        <v>16.899999999999999</v>
      </c>
      <c r="F28" s="41">
        <v>16.899999999999999</v>
      </c>
      <c r="G28" s="154"/>
    </row>
    <row r="29" spans="1:7" x14ac:dyDescent="0.2">
      <c r="A29" s="154">
        <v>11</v>
      </c>
      <c r="B29" s="154"/>
      <c r="C29" s="155" t="s">
        <v>137</v>
      </c>
      <c r="D29" s="154"/>
      <c r="E29" s="43">
        <v>0.1</v>
      </c>
      <c r="F29" s="43">
        <v>0.1</v>
      </c>
      <c r="G29" s="154"/>
    </row>
    <row r="30" spans="1:7" x14ac:dyDescent="0.2">
      <c r="A30" s="154"/>
      <c r="B30" s="154"/>
      <c r="C30" s="144"/>
      <c r="D30" s="154"/>
      <c r="E30" s="41"/>
      <c r="F30" s="41"/>
      <c r="G30" s="154"/>
    </row>
    <row r="31" spans="1:7" x14ac:dyDescent="0.2">
      <c r="A31" s="154">
        <v>12</v>
      </c>
      <c r="B31" s="154"/>
      <c r="C31" s="155" t="s">
        <v>251</v>
      </c>
      <c r="D31" s="154"/>
      <c r="E31" s="43">
        <f>SUM(E25:E30)</f>
        <v>935.2</v>
      </c>
      <c r="F31" s="43">
        <f>SUM(F25:F30)</f>
        <v>935.2</v>
      </c>
      <c r="G31" s="154"/>
    </row>
    <row r="32" spans="1:7" x14ac:dyDescent="0.2">
      <c r="A32" s="154"/>
      <c r="B32" s="154"/>
      <c r="C32" s="144"/>
      <c r="D32" s="154"/>
      <c r="E32" s="42"/>
      <c r="F32" s="42"/>
      <c r="G32" s="154"/>
    </row>
    <row r="33" spans="1:7" x14ac:dyDescent="0.2">
      <c r="A33" s="154">
        <v>13</v>
      </c>
      <c r="B33" s="154"/>
      <c r="C33" s="155" t="s">
        <v>252</v>
      </c>
      <c r="D33" s="154"/>
      <c r="E33" s="41">
        <f>E22-E31</f>
        <v>759.02049311676888</v>
      </c>
      <c r="F33" s="41">
        <f>F22-F31</f>
        <v>759.02049311676888</v>
      </c>
      <c r="G33" s="154"/>
    </row>
    <row r="34" spans="1:7" x14ac:dyDescent="0.2">
      <c r="A34" s="154">
        <v>14</v>
      </c>
      <c r="B34" s="154"/>
      <c r="C34" s="155" t="s">
        <v>253</v>
      </c>
      <c r="D34" s="154"/>
      <c r="E34" s="157">
        <v>0.15</v>
      </c>
      <c r="F34" s="157">
        <v>0.115</v>
      </c>
      <c r="G34" s="154"/>
    </row>
    <row r="35" spans="1:7" x14ac:dyDescent="0.2">
      <c r="A35" s="154"/>
      <c r="B35" s="154"/>
      <c r="C35" s="144"/>
      <c r="D35" s="154"/>
      <c r="E35" s="154"/>
      <c r="F35" s="154"/>
      <c r="G35" s="154"/>
    </row>
    <row r="36" spans="1:7" x14ac:dyDescent="0.2">
      <c r="A36" s="154">
        <v>15</v>
      </c>
      <c r="B36" s="154"/>
      <c r="C36" s="155" t="s">
        <v>254</v>
      </c>
      <c r="D36" s="154"/>
      <c r="E36" s="158">
        <v>113.82689393163773</v>
      </c>
      <c r="F36" s="158">
        <v>87.290285347588934</v>
      </c>
      <c r="G36" s="158">
        <f>SUM(E36:F36)</f>
        <v>201.11717927922666</v>
      </c>
    </row>
    <row r="37" spans="1:7" x14ac:dyDescent="0.2">
      <c r="A37" s="154"/>
      <c r="B37" s="154"/>
      <c r="C37" s="144"/>
      <c r="D37" s="154"/>
      <c r="E37" s="154"/>
      <c r="F37" s="154"/>
      <c r="G37" s="154"/>
    </row>
    <row r="38" spans="1:7" x14ac:dyDescent="0.2">
      <c r="A38" s="154"/>
      <c r="B38" s="154"/>
      <c r="C38" s="156" t="s">
        <v>255</v>
      </c>
      <c r="D38" s="154"/>
      <c r="E38" s="154"/>
      <c r="F38" s="154"/>
      <c r="G38" s="154"/>
    </row>
    <row r="39" spans="1:7" x14ac:dyDescent="0.2">
      <c r="A39" s="154"/>
      <c r="B39" s="154"/>
      <c r="C39" s="155" t="s">
        <v>256</v>
      </c>
      <c r="D39" s="154"/>
      <c r="E39" s="154"/>
      <c r="F39" s="154"/>
      <c r="G39" s="154"/>
    </row>
    <row r="40" spans="1:7" x14ac:dyDescent="0.2">
      <c r="A40" s="154">
        <v>16</v>
      </c>
      <c r="B40" s="154"/>
      <c r="C40" s="155" t="s">
        <v>257</v>
      </c>
      <c r="D40" s="154"/>
      <c r="E40" s="159">
        <f>'2024 Rate Base'!I31</f>
        <v>15716.754869377804</v>
      </c>
      <c r="F40" s="154"/>
      <c r="G40" s="154"/>
    </row>
    <row r="41" spans="1:7" x14ac:dyDescent="0.2">
      <c r="A41" s="154">
        <v>17</v>
      </c>
      <c r="B41" s="154"/>
      <c r="C41" s="155" t="s">
        <v>258</v>
      </c>
      <c r="D41" s="154"/>
      <c r="E41" s="157">
        <v>2.579294163586356E-2</v>
      </c>
      <c r="F41" s="154"/>
      <c r="G41" s="154"/>
    </row>
    <row r="42" spans="1:7" x14ac:dyDescent="0.2">
      <c r="A42" s="154">
        <v>18</v>
      </c>
      <c r="B42" s="154"/>
      <c r="C42" s="155" t="s">
        <v>259</v>
      </c>
      <c r="D42" s="154"/>
      <c r="E42" s="158">
        <v>405.9</v>
      </c>
      <c r="F42" s="154"/>
      <c r="G42" s="154"/>
    </row>
    <row r="43" spans="1:7" x14ac:dyDescent="0.2">
      <c r="A43" s="154">
        <v>19</v>
      </c>
      <c r="B43" s="154"/>
      <c r="C43" s="155" t="s">
        <v>260</v>
      </c>
      <c r="D43" s="154"/>
      <c r="E43" s="157">
        <v>0.26500000000000001</v>
      </c>
      <c r="F43" s="154"/>
      <c r="G43" s="154"/>
    </row>
    <row r="44" spans="1:7" x14ac:dyDescent="0.2">
      <c r="A44" s="154">
        <v>20</v>
      </c>
      <c r="B44" s="154"/>
      <c r="C44" s="155" t="s">
        <v>261</v>
      </c>
      <c r="D44" s="154"/>
      <c r="E44" s="154"/>
      <c r="F44" s="154"/>
      <c r="G44" s="45">
        <v>-107.6</v>
      </c>
    </row>
    <row r="45" spans="1:7" x14ac:dyDescent="0.2">
      <c r="A45" s="154"/>
      <c r="B45" s="154"/>
      <c r="C45" s="144"/>
      <c r="D45" s="154"/>
      <c r="E45" s="154"/>
      <c r="F45" s="154"/>
      <c r="G45" s="160"/>
    </row>
    <row r="46" spans="1:7" ht="13.5" thickBot="1" x14ac:dyDescent="0.25">
      <c r="A46" s="154">
        <v>21</v>
      </c>
      <c r="B46" s="154"/>
      <c r="C46" s="155" t="s">
        <v>262</v>
      </c>
      <c r="D46" s="154"/>
      <c r="E46" s="154"/>
      <c r="F46" s="154"/>
      <c r="G46" s="161">
        <f>G36+G44+0.1</f>
        <v>93.617179279226661</v>
      </c>
    </row>
    <row r="47" spans="1:7" ht="13.5" thickTop="1" x14ac:dyDescent="0.2">
      <c r="G47" s="162"/>
    </row>
    <row r="48" spans="1:7" x14ac:dyDescent="0.2">
      <c r="A48" s="115" t="s">
        <v>337</v>
      </c>
    </row>
    <row r="49" spans="1:5" ht="14.45" customHeight="1" x14ac:dyDescent="0.2">
      <c r="A49" s="163" t="s">
        <v>27</v>
      </c>
      <c r="B49" s="181" t="s">
        <v>28</v>
      </c>
      <c r="C49" s="181"/>
      <c r="D49" s="181"/>
      <c r="E49" s="181"/>
    </row>
  </sheetData>
  <sheetProtection selectLockedCells="1"/>
  <mergeCells count="7">
    <mergeCell ref="B49:E49"/>
    <mergeCell ref="A12:C12"/>
    <mergeCell ref="A6:G6"/>
    <mergeCell ref="A7:G7"/>
    <mergeCell ref="A8:G8"/>
    <mergeCell ref="A9:C9"/>
    <mergeCell ref="A11:C11"/>
  </mergeCells>
  <pageMargins left="0.7" right="0.7" top="0.75" bottom="0.75" header="0.3" footer="0.3"/>
  <pageSetup orientation="portrait" r:id="rId1"/>
  <headerFooter>
    <oddHeader>&amp;R&amp;"Arial,Regular"&amp;10Updated: 2024-03-15
EB-2022-0200
Rate Order
Working Papers
Schedule 8
Page &amp;P of &amp;N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1B86-0DB5-4A2B-A024-E46BA0AF0931}">
  <sheetPr codeName="Sheet9">
    <tabColor theme="9" tint="0.59999389629810485"/>
    <pageSetUpPr fitToPage="1"/>
  </sheetPr>
  <dimension ref="A6:H42"/>
  <sheetViews>
    <sheetView view="pageLayout" topLeftCell="C14" zoomScaleNormal="100" workbookViewId="0">
      <selection activeCell="I23" sqref="I23"/>
    </sheetView>
  </sheetViews>
  <sheetFormatPr defaultColWidth="101.140625" defaultRowHeight="12.75" x14ac:dyDescent="0.2"/>
  <cols>
    <col min="1" max="1" width="5.85546875" style="8" bestFit="1" customWidth="1"/>
    <col min="2" max="2" width="1.140625" style="8" customWidth="1"/>
    <col min="3" max="3" width="39.42578125" style="8" customWidth="1"/>
    <col min="4" max="4" width="1.140625" style="8" customWidth="1"/>
    <col min="5" max="5" width="10.140625" style="8" customWidth="1"/>
    <col min="6" max="6" width="12.42578125" style="9" customWidth="1"/>
    <col min="7" max="7" width="10.140625" style="9" customWidth="1"/>
    <col min="8" max="8" width="10.5703125" style="9" customWidth="1"/>
    <col min="9" max="27" width="6.5703125" style="8" customWidth="1"/>
    <col min="28" max="53" width="5.5703125" style="8" customWidth="1"/>
    <col min="54" max="16384" width="101.140625" style="8"/>
  </cols>
  <sheetData>
    <row r="6" spans="1:8" s="2" customFormat="1" x14ac:dyDescent="0.2">
      <c r="A6" s="1" t="s">
        <v>74</v>
      </c>
      <c r="B6" s="1"/>
      <c r="C6" s="1"/>
      <c r="D6" s="1"/>
      <c r="E6" s="1"/>
      <c r="F6" s="12"/>
      <c r="G6" s="12"/>
      <c r="H6" s="12"/>
    </row>
    <row r="7" spans="1:8" s="2" customFormat="1" x14ac:dyDescent="0.2">
      <c r="A7" s="1" t="s">
        <v>263</v>
      </c>
      <c r="B7" s="1"/>
      <c r="C7" s="1"/>
      <c r="D7" s="1"/>
      <c r="E7" s="1"/>
      <c r="F7" s="12"/>
      <c r="G7" s="12"/>
      <c r="H7" s="12"/>
    </row>
    <row r="9" spans="1:8" s="23" customFormat="1" ht="25.5" customHeight="1" x14ac:dyDescent="0.2">
      <c r="E9" s="17" t="s">
        <v>264</v>
      </c>
      <c r="F9" s="17" t="s">
        <v>265</v>
      </c>
      <c r="G9" s="17" t="s">
        <v>266</v>
      </c>
      <c r="H9" s="17" t="s">
        <v>267</v>
      </c>
    </row>
    <row r="10" spans="1:8" s="23" customFormat="1" x14ac:dyDescent="0.2">
      <c r="E10" s="17" t="s">
        <v>103</v>
      </c>
      <c r="F10" s="17" t="s">
        <v>268</v>
      </c>
      <c r="G10" s="17" t="s">
        <v>268</v>
      </c>
      <c r="H10" s="17" t="s">
        <v>268</v>
      </c>
    </row>
    <row r="11" spans="1:8" s="6" customFormat="1" ht="25.5" x14ac:dyDescent="0.2">
      <c r="A11" s="5" t="s">
        <v>3</v>
      </c>
      <c r="C11" s="7" t="s">
        <v>101</v>
      </c>
      <c r="E11" s="5" t="s">
        <v>269</v>
      </c>
      <c r="F11" s="5" t="s">
        <v>269</v>
      </c>
      <c r="G11" s="5" t="s">
        <v>269</v>
      </c>
      <c r="H11" s="5" t="s">
        <v>269</v>
      </c>
    </row>
    <row r="12" spans="1:8" s="6" customFormat="1" ht="12.95" customHeight="1" x14ac:dyDescent="0.2">
      <c r="A12" s="17"/>
      <c r="E12" s="17" t="s">
        <v>6</v>
      </c>
      <c r="F12" s="17" t="s">
        <v>7</v>
      </c>
      <c r="G12" s="17" t="s">
        <v>148</v>
      </c>
      <c r="H12" s="17" t="s">
        <v>270</v>
      </c>
    </row>
    <row r="13" spans="1:8" ht="12.95" customHeight="1" x14ac:dyDescent="0.2">
      <c r="E13" s="9"/>
    </row>
    <row r="14" spans="1:8" x14ac:dyDescent="0.2">
      <c r="C14" s="3" t="s">
        <v>271</v>
      </c>
      <c r="E14" s="9"/>
    </row>
    <row r="16" spans="1:8" x14ac:dyDescent="0.2">
      <c r="A16" s="9">
        <v>1</v>
      </c>
      <c r="C16" s="8" t="s">
        <v>272</v>
      </c>
      <c r="E16" s="18">
        <v>10028.1</v>
      </c>
      <c r="F16" s="26">
        <f>E16/E23*100</f>
        <v>61.854887955441242</v>
      </c>
      <c r="G16" s="26">
        <v>4.1678774142306425</v>
      </c>
      <c r="H16" s="27">
        <f>F16*G16/100</f>
        <v>2.5780359046925052</v>
      </c>
    </row>
    <row r="17" spans="1:8" x14ac:dyDescent="0.2">
      <c r="A17" s="9">
        <v>2</v>
      </c>
      <c r="C17" s="8" t="s">
        <v>273</v>
      </c>
      <c r="E17" s="18">
        <v>23.5</v>
      </c>
      <c r="F17" s="26">
        <f>E17/E23*100+0.001</f>
        <v>0.14595167249557436</v>
      </c>
      <c r="G17" s="26">
        <v>3</v>
      </c>
      <c r="H17" s="27">
        <f>F17*G17/100</f>
        <v>4.3785501748672302E-3</v>
      </c>
    </row>
    <row r="18" spans="1:8" x14ac:dyDescent="0.2">
      <c r="A18" s="9"/>
      <c r="E18" s="10"/>
    </row>
    <row r="19" spans="1:8" x14ac:dyDescent="0.2">
      <c r="A19" s="9">
        <v>3</v>
      </c>
      <c r="C19" s="8" t="s">
        <v>274</v>
      </c>
      <c r="E19" s="25">
        <f>E16+E17</f>
        <v>10051.6</v>
      </c>
      <c r="F19" s="28">
        <f>F16+F17</f>
        <v>62.00083962793682</v>
      </c>
      <c r="H19" s="29">
        <f>H16+H17</f>
        <v>2.5824144548673726</v>
      </c>
    </row>
    <row r="20" spans="1:8" x14ac:dyDescent="0.2">
      <c r="A20" s="9"/>
      <c r="E20" s="10"/>
    </row>
    <row r="21" spans="1:8" x14ac:dyDescent="0.2">
      <c r="A21" s="9">
        <v>4</v>
      </c>
      <c r="C21" s="3" t="s">
        <v>275</v>
      </c>
      <c r="E21" s="18">
        <v>6160.7</v>
      </c>
      <c r="F21" s="26">
        <v>38</v>
      </c>
      <c r="G21" s="26">
        <v>8.66</v>
      </c>
      <c r="H21" s="27">
        <f>F21*G21/100</f>
        <v>3.2907999999999999</v>
      </c>
    </row>
    <row r="22" spans="1:8" x14ac:dyDescent="0.2">
      <c r="A22" s="9"/>
      <c r="E22" s="10"/>
    </row>
    <row r="23" spans="1:8" ht="13.5" thickBot="1" x14ac:dyDescent="0.25">
      <c r="A23" s="9">
        <v>5</v>
      </c>
      <c r="C23" s="8" t="s">
        <v>140</v>
      </c>
      <c r="E23" s="20">
        <f>'2024 Rate Base'!E31</f>
        <v>16212.3</v>
      </c>
      <c r="F23" s="30">
        <f>F19+F21</f>
        <v>100.00083962793681</v>
      </c>
      <c r="H23" s="31">
        <f>H19+H21</f>
        <v>5.873214454867373</v>
      </c>
    </row>
    <row r="24" spans="1:8" ht="13.5" thickTop="1" x14ac:dyDescent="0.2">
      <c r="A24" s="9"/>
      <c r="E24" s="10"/>
    </row>
    <row r="25" spans="1:8" x14ac:dyDescent="0.2">
      <c r="A25" s="9">
        <v>6</v>
      </c>
      <c r="C25" s="8" t="s">
        <v>30</v>
      </c>
      <c r="E25" s="18">
        <f>E23</f>
        <v>16212.3</v>
      </c>
    </row>
    <row r="26" spans="1:8" x14ac:dyDescent="0.2">
      <c r="A26" s="9">
        <v>7</v>
      </c>
      <c r="C26" s="8" t="s">
        <v>276</v>
      </c>
      <c r="E26" s="18">
        <v>738.3</v>
      </c>
    </row>
    <row r="27" spans="1:8" x14ac:dyDescent="0.2">
      <c r="A27" s="9">
        <v>8</v>
      </c>
      <c r="C27" s="8" t="s">
        <v>277</v>
      </c>
      <c r="E27" s="32">
        <v>4.5539999999999997E-2</v>
      </c>
    </row>
    <row r="28" spans="1:8" x14ac:dyDescent="0.2">
      <c r="A28" s="9">
        <v>9</v>
      </c>
      <c r="C28" s="8" t="s">
        <v>278</v>
      </c>
      <c r="E28" s="33">
        <v>-1.32E-2</v>
      </c>
    </row>
    <row r="29" spans="1:8" x14ac:dyDescent="0.2">
      <c r="A29" s="9">
        <v>10</v>
      </c>
      <c r="C29" s="8" t="s">
        <v>279</v>
      </c>
      <c r="E29" s="18">
        <v>-213.9</v>
      </c>
    </row>
    <row r="30" spans="1:8" x14ac:dyDescent="0.2">
      <c r="A30" s="9">
        <v>11</v>
      </c>
      <c r="C30" s="8" t="s">
        <v>280</v>
      </c>
      <c r="E30" s="18">
        <v>-291</v>
      </c>
    </row>
    <row r="31" spans="1:8" x14ac:dyDescent="0.2">
      <c r="A31" s="9">
        <v>12</v>
      </c>
      <c r="C31" s="8" t="s">
        <v>281</v>
      </c>
      <c r="E31" s="18">
        <v>6016.3</v>
      </c>
    </row>
    <row r="32" spans="1:8" x14ac:dyDescent="0.2">
      <c r="A32" s="9">
        <v>13</v>
      </c>
      <c r="C32" s="8" t="s">
        <v>282</v>
      </c>
      <c r="E32" s="18">
        <v>6307.4</v>
      </c>
    </row>
    <row r="33" spans="1:5" x14ac:dyDescent="0.2">
      <c r="A33" s="9">
        <v>14</v>
      </c>
      <c r="C33" s="8" t="s">
        <v>283</v>
      </c>
      <c r="E33" s="18">
        <v>-291.04899999999998</v>
      </c>
    </row>
    <row r="34" spans="1:5" x14ac:dyDescent="0.2">
      <c r="A34" s="9"/>
      <c r="E34" s="10"/>
    </row>
    <row r="35" spans="1:5" x14ac:dyDescent="0.2">
      <c r="A35" s="9"/>
      <c r="C35" s="3" t="s">
        <v>275</v>
      </c>
      <c r="E35" s="10"/>
    </row>
    <row r="36" spans="1:5" x14ac:dyDescent="0.2">
      <c r="A36" s="9"/>
      <c r="E36" s="10"/>
    </row>
    <row r="37" spans="1:5" x14ac:dyDescent="0.2">
      <c r="A37" s="9">
        <v>15</v>
      </c>
      <c r="C37" s="8" t="s">
        <v>284</v>
      </c>
      <c r="E37" s="32">
        <v>8.6599999999999996E-2</v>
      </c>
    </row>
    <row r="38" spans="1:5" x14ac:dyDescent="0.2">
      <c r="A38" s="9">
        <v>16</v>
      </c>
      <c r="C38" s="8" t="s">
        <v>285</v>
      </c>
      <c r="E38" s="32">
        <v>5.1880000000000003E-2</v>
      </c>
    </row>
    <row r="39" spans="1:5" x14ac:dyDescent="0.2">
      <c r="A39" s="9">
        <v>17</v>
      </c>
      <c r="C39" s="8" t="s">
        <v>286</v>
      </c>
      <c r="E39" s="33">
        <f>E38-E37</f>
        <v>-3.4719999999999994E-2</v>
      </c>
    </row>
    <row r="41" spans="1:5" x14ac:dyDescent="0.2">
      <c r="A41" s="3" t="s">
        <v>26</v>
      </c>
    </row>
    <row r="42" spans="1:5" x14ac:dyDescent="0.2">
      <c r="A42" s="21" t="s">
        <v>27</v>
      </c>
      <c r="C42" s="8" t="s">
        <v>287</v>
      </c>
    </row>
  </sheetData>
  <sheetProtection selectLockedCells="1"/>
  <pageMargins left="0.7" right="0.7" top="0.75" bottom="0.75" header="0.3" footer="0.3"/>
  <pageSetup scale="99" orientation="portrait" r:id="rId1"/>
  <headerFooter>
    <oddHeader>&amp;R&amp;"Arial,Regular"&amp;10Filed: 2024-02-16
EB-2022-0200
Rate Order
Working Papers
Schedule 9
Page 1 of 1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C6U45NHNYSXQ-170716136-235</_dlc_DocId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https://enbridge.sharepoint.com/teams/EB-2022-02002024Rebasing/_layouts/15/DocIdRedir.aspx?ID=C6U45NHNYSXQ-170716136-235</Url>
      <Description>C6U45NHNYSXQ-170716136-235</Description>
    </_dlc_DocIdUrl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DE24AC-D6D1-4F56-A291-229A0010C669}"/>
</file>

<file path=customXml/itemProps2.xml><?xml version="1.0" encoding="utf-8"?>
<ds:datastoreItem xmlns:ds="http://schemas.openxmlformats.org/officeDocument/2006/customXml" ds:itemID="{BE83773E-9961-495D-ACD6-BDDD4E8D59BD}"/>
</file>

<file path=customXml/itemProps3.xml><?xml version="1.0" encoding="utf-8"?>
<ds:datastoreItem xmlns:ds="http://schemas.openxmlformats.org/officeDocument/2006/customXml" ds:itemID="{460FA582-F4C2-4B8E-BE14-41DC379A2A30}"/>
</file>

<file path=customXml/itemProps4.xml><?xml version="1.0" encoding="utf-8"?>
<ds:datastoreItem xmlns:ds="http://schemas.openxmlformats.org/officeDocument/2006/customXml" ds:itemID="{74E1901B-5F87-4D6F-A3DC-B9F03132C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Impact Statement</vt:lpstr>
      <vt:lpstr>Working Cash</vt:lpstr>
      <vt:lpstr>2024 Rate Base</vt:lpstr>
      <vt:lpstr>Gas in Storage</vt:lpstr>
      <vt:lpstr>2024 Capital Expenditures</vt:lpstr>
      <vt:lpstr>2024 Depreciation Expense</vt:lpstr>
      <vt:lpstr>Utility Income</vt:lpstr>
      <vt:lpstr>Income Taxes</vt:lpstr>
      <vt:lpstr>Capital Structure Capital Updat</vt:lpstr>
      <vt:lpstr>Capital Structure Settlement Ag</vt:lpstr>
      <vt:lpstr>Capital Structure OEB Decision</vt:lpstr>
      <vt:lpstr>RR and Deficiency</vt:lpstr>
      <vt:lpstr>RR and Deficiency Delivery</vt:lpstr>
      <vt:lpstr>RR and Deficiency Gas Supply</vt:lpstr>
      <vt:lpstr>NGV Forecast</vt:lpstr>
      <vt:lpstr>'Gas in Storage'!Print_Area</vt:lpstr>
      <vt:lpstr>'NGV Forecast'!Print_Area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2024-03-15T17:48:42Z</dcterms:created>
  <dcterms:modified xsi:type="dcterms:W3CDTF">2024-03-15T17:48:49Z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2024-03-15T17:48:48Z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64b9b94a-dcda-46bb-9ce6-77ce017cbd9c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ContentTypeId">
    <vt:lpwstr>0x01010023BCE4D423B1DE4CB1730F6A38FCA8AB</vt:lpwstr>
  </property>
  <property fmtid="{D5CDD505-2E9C-101B-9397-08002B2CF9AE}" pid="11" name="_dlc_DocIdItemGuid">
    <vt:lpwstr>aacc168f-377f-4245-8028-53074410a5ca</vt:lpwstr>
  </property>
  <property fmtid="{D5CDD505-2E9C-101B-9397-08002B2CF9AE}" pid="12" name="SV_HIDDEN_GRID_QUERY_LIST_4F35BF76-6C0D-4D9B-82B2-816C12CF3733">
    <vt:lpwstr>empty_477D106A-C0D6-4607-AEBD-E2C9D60EA279</vt:lpwstr>
  </property>
</Properties>
</file>